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<Relationships xmlns="http://schemas.openxmlformats.org/package/2006/relationships" ><Relationship Id="rId1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3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580" firstSheet="0" activeTab="1"/>
  </bookViews>
  <sheets>
    <sheet name="Business Model" sheetId="1" r:id="rId4"/>
    <sheet name="Investissements_Charges" sheetId="2" r:id="rId5"/>
    <sheet name="Cash flow_VAN" sheetId="3" r:id="rId6"/>
    <sheet name="Autres charges" sheetId="4" state="hidden" r:id="rId7"/>
    <sheet name="Autres_charges" sheetId="5" r:id="rId8"/>
    <sheet name="Chiffre d'affaires" sheetId="6" r:id="rId9"/>
  </sheets>
  <definedNames>
    <definedName name="_Toc237678622" localSheetId="0">'Business Model'!$A$15</definedName>
    <definedName name="_Toc237678623" localSheetId="0">'Business Model'!$A$17</definedName>
    <definedName name="_Toc237678624" localSheetId="0">'Business Model'!$A$49</definedName>
    <definedName name="_Toc237678625" localSheetId="0">#NAME?</definedName>
  </definedNames>
</workbook>
</file>

<file path=xl/sharedStrings.xml><?xml version="1.0" encoding="utf-8"?>
<sst xmlns="http://schemas.openxmlformats.org/spreadsheetml/2006/main" count="741" uniqueCount="488">
  <si>
    <t>BUSINESS PLAN</t>
  </si>
  <si>
    <t xml:space="preserve">NOM/DENOMINATION DE LA SOCIETE : </t>
  </si>
  <si>
    <t>AKOHO NAKAY</t>
  </si>
  <si>
    <t xml:space="preserve">NUMERO D’IDENTIFICATION SOCIETE : </t>
  </si>
  <si>
    <t>ACTIVITE :</t>
  </si>
  <si>
    <t>ELEVAGE POULET</t>
  </si>
  <si>
    <t>SOCIETE</t>
  </si>
  <si>
    <t>PORTABLE :</t>
  </si>
  <si>
    <t>MAIL :</t>
  </si>
  <si>
    <t>prince.raherison@gmail.com</t>
  </si>
  <si>
    <t>ADRESSE :</t>
  </si>
  <si>
    <t>MAHAJANGA</t>
  </si>
  <si>
    <t>FOKONTANY :</t>
  </si>
  <si>
    <t>AMBORIVY</t>
  </si>
  <si>
    <t>COMMUNE :</t>
  </si>
  <si>
    <t>DISTRICT :</t>
  </si>
  <si>
    <t>MAHAJANGA II</t>
  </si>
  <si>
    <t>Lahy</t>
  </si>
  <si>
    <t>REGION :</t>
  </si>
  <si>
    <t>BOENY</t>
  </si>
  <si>
    <t>Vavy</t>
  </si>
  <si>
    <t>OBJET/OBJECTIF DU BUSINESS PLAN :</t>
  </si>
  <si>
    <t>Mpitovo</t>
  </si>
  <si>
    <t>Manambady</t>
  </si>
  <si>
    <t>VERSION :</t>
  </si>
  <si>
    <t>JIUN 19</t>
  </si>
  <si>
    <t>1 RESUME</t>
  </si>
  <si>
    <t>1.1.1.1. L’ACTIVITE:</t>
  </si>
  <si>
    <t>Formelle</t>
  </si>
  <si>
    <t>x</t>
  </si>
  <si>
    <t>Informelle</t>
  </si>
  <si>
    <t xml:space="preserve">Principale                                                         </t>
  </si>
  <si>
    <t>Secondaire</t>
  </si>
  <si>
    <t xml:space="preserve">Année de création : </t>
  </si>
  <si>
    <t>Historique :</t>
  </si>
  <si>
    <t>Au début :</t>
  </si>
  <si>
    <t>Actuellement :</t>
  </si>
  <si>
    <t>Possedant une surface  large pour le projet avicole</t>
  </si>
  <si>
    <t>Perspectives d’avenir :</t>
  </si>
  <si>
    <t>production de chair de poulet et pondeuse</t>
  </si>
  <si>
    <t>Opportunités de marché :</t>
  </si>
  <si>
    <t>beaucoup de demande</t>
  </si>
  <si>
    <t>Avantages concurrentiels :</t>
  </si>
  <si>
    <t>production de chair bio</t>
  </si>
  <si>
    <t>Perspectives d'évolution par rapport à l'objet/objectif du Business Plan :</t>
  </si>
  <si>
    <t xml:space="preserve">production de chair  de bonne qualitée pour la ville de mahajanga </t>
  </si>
  <si>
    <t>2 PME</t>
  </si>
  <si>
    <t>2.1PRESENTATION</t>
  </si>
  <si>
    <t>LE PROMOTEUR</t>
  </si>
  <si>
    <t>Nom du PROMOTEUR</t>
  </si>
  <si>
    <t>RAHERISON Prince</t>
  </si>
  <si>
    <t>Homme ou femme</t>
  </si>
  <si>
    <t>Date et lieu de naissance</t>
  </si>
  <si>
    <t>NAMAKIA</t>
  </si>
  <si>
    <t>Numéro de Carte d’Identité Nationale</t>
  </si>
  <si>
    <t>Délivrée le</t>
  </si>
  <si>
    <t>A</t>
  </si>
  <si>
    <t>Duplicata tamin’ny</t>
  </si>
  <si>
    <t>MAHANJAGA-1</t>
  </si>
  <si>
    <t>Profession</t>
  </si>
  <si>
    <t>ELEVEUR</t>
  </si>
  <si>
    <t>Situation matrimoniale</t>
  </si>
  <si>
    <t>Nom du/de la Conjoint/e</t>
  </si>
  <si>
    <t>Les membres de la famille :</t>
  </si>
  <si>
    <t xml:space="preserve"> &gt;  18 ans  &gt;</t>
  </si>
  <si>
    <t>CEPE</t>
  </si>
  <si>
    <t xml:space="preserve">2.2.2.2. NIVEAU DE SCOLARITE  : </t>
  </si>
  <si>
    <t>BEPC</t>
  </si>
  <si>
    <t>ECOLE/COLLEGE/LYCEE</t>
  </si>
  <si>
    <t>DERNIERE CLASSE FREQUENTEE</t>
  </si>
  <si>
    <t>DIPLÔME</t>
  </si>
  <si>
    <t>BACC</t>
  </si>
  <si>
    <t>BAC+3</t>
  </si>
  <si>
    <t>LICENCE</t>
  </si>
  <si>
    <t>LICENCE Mihoatra</t>
  </si>
  <si>
    <t>2.5. EMPLOYES</t>
  </si>
  <si>
    <t xml:space="preserve">Nombre total : </t>
  </si>
  <si>
    <t>Permanents :</t>
  </si>
  <si>
    <t xml:space="preserve">Journaliers : </t>
  </si>
  <si>
    <t>Autres :</t>
  </si>
  <si>
    <t>2.6. AUTRES RESSOURCES FINANCIERES</t>
  </si>
  <si>
    <t xml:space="preserve">2.7. GARANTIES PROBABLES EN CAS D'EMPRUNT(facultatif </t>
  </si>
  <si>
    <t>3 LES PRODUITS</t>
  </si>
  <si>
    <t>LIGNE :</t>
  </si>
  <si>
    <t>PISCICULTURE</t>
  </si>
  <si>
    <t>PROVANDE</t>
  </si>
  <si>
    <t>ELEVAGE</t>
  </si>
  <si>
    <t>AGRICULTURE</t>
  </si>
  <si>
    <t>TRAITEMENT DE DECHET</t>
  </si>
  <si>
    <t>VENTE DE PRODUITS  AGRICOLE ET ELEVAGE</t>
  </si>
  <si>
    <t>CENTRE DE FORMATION PROFESSIONNEL</t>
  </si>
  <si>
    <t>TRANSFORMATION DES PRODUITS AGRICOLE ET  ELEVAGE</t>
  </si>
  <si>
    <t>PRODUIT :</t>
  </si>
  <si>
    <t>ALEVINS</t>
  </si>
  <si>
    <t>elevage terestre</t>
  </si>
  <si>
    <t>poulet gasy,</t>
  </si>
  <si>
    <t>mais, manioc</t>
  </si>
  <si>
    <t>composte</t>
  </si>
  <si>
    <t>tous les produits</t>
  </si>
  <si>
    <t>modulaire</t>
  </si>
  <si>
    <t>confiture</t>
  </si>
  <si>
    <t>POISSON ENGRAISSEE</t>
  </si>
  <si>
    <t>aquaculture</t>
  </si>
  <si>
    <t>canard</t>
  </si>
  <si>
    <t>plante médicinale</t>
  </si>
  <si>
    <t>lombricomposte</t>
  </si>
  <si>
    <t>continue</t>
  </si>
  <si>
    <t>distillation des huilles essentielles</t>
  </si>
  <si>
    <t>chair</t>
  </si>
  <si>
    <t>pepiniere</t>
  </si>
  <si>
    <t>charbon ecologique</t>
  </si>
  <si>
    <t>consultation et rélisation projet de développement</t>
  </si>
  <si>
    <t>foie gras</t>
  </si>
  <si>
    <t>pondeuse</t>
  </si>
  <si>
    <t>riz,soja</t>
  </si>
  <si>
    <t>production des larves</t>
  </si>
  <si>
    <t>Normes :</t>
  </si>
  <si>
    <t xml:space="preserve">Qualité : </t>
  </si>
  <si>
    <t>Inférieure</t>
  </si>
  <si>
    <t>Moyenne</t>
  </si>
  <si>
    <t>Bonne</t>
  </si>
  <si>
    <t>Avantages par rapport aux autres :</t>
  </si>
  <si>
    <t>produits bio</t>
  </si>
  <si>
    <t>3 CLIENTS</t>
  </si>
  <si>
    <t xml:space="preserve">COMMERCIALISATION PAR COUPLE OP/OM      </t>
  </si>
  <si>
    <t>COMMERCIALISATION INDIVIDUELLLE</t>
  </si>
  <si>
    <t>Nom des clients :</t>
  </si>
  <si>
    <t>la population majungaise et tananarivienne</t>
  </si>
  <si>
    <t>restaurant</t>
  </si>
  <si>
    <t>……………………………………………….…………</t>
  </si>
  <si>
    <t>5 LA DEMANDE</t>
  </si>
  <si>
    <t>5.1LES BESOINS EN PRODUITS</t>
  </si>
  <si>
    <t>avec traçabilitée</t>
  </si>
  <si>
    <t>Qualité :</t>
  </si>
  <si>
    <t>vivant et congélé</t>
  </si>
  <si>
    <t>Quantité demandée par le marché :</t>
  </si>
  <si>
    <t>3000 TETE/SEMAINE</t>
  </si>
  <si>
    <t>Quantité produite par la Société</t>
  </si>
  <si>
    <t>6000 TETE/AN</t>
  </si>
  <si>
    <t>LIGNE</t>
  </si>
  <si>
    <t>PRODUIT</t>
  </si>
  <si>
    <t>QUANTITE</t>
  </si>
  <si>
    <t>PRODUCTION</t>
  </si>
  <si>
    <t>CENTRE DE FORMATION</t>
  </si>
  <si>
    <t>MODULAIRE</t>
  </si>
  <si>
    <t>AGRI</t>
  </si>
  <si>
    <t>CONTINUE</t>
  </si>
  <si>
    <t>AQUA</t>
  </si>
  <si>
    <t>TRANSFORMATION DE PRODUITS</t>
  </si>
  <si>
    <t>TRAITEMENT DE DECHETS</t>
  </si>
  <si>
    <t>VENTE</t>
  </si>
  <si>
    <t>5.2LES CONCURRENTS</t>
  </si>
  <si>
    <t>-</t>
  </si>
  <si>
    <t>PECHEURS TRADITIONNELS</t>
  </si>
  <si>
    <t>PROJET PATIMA</t>
  </si>
  <si>
    <t>TILAPIA DE L'EST  TOAMASINA</t>
  </si>
  <si>
    <t>5.3LE PRIX</t>
  </si>
  <si>
    <t>Produit cité en exemple :</t>
  </si>
  <si>
    <t>SUR PLACE</t>
  </si>
  <si>
    <t>DEPLACE</t>
  </si>
  <si>
    <t>Où ?</t>
  </si>
  <si>
    <t>Combien ?</t>
  </si>
  <si>
    <t>Consommateur direct</t>
  </si>
  <si>
    <t>X</t>
  </si>
  <si>
    <t>TANA/MAHAJANGA</t>
  </si>
  <si>
    <t>Détaillant</t>
  </si>
  <si>
    <t>Grossiste</t>
  </si>
  <si>
    <t>Transformateur</t>
  </si>
  <si>
    <t>Intermédiaire</t>
  </si>
  <si>
    <t>5.4LA DISRTRIBUTION</t>
  </si>
  <si>
    <t>5.5LES REGLEMENTATIONS</t>
  </si>
  <si>
    <t>COOPERATIVE</t>
  </si>
  <si>
    <t>………………………………………………………………………………………………...…………</t>
  </si>
  <si>
    <t>6 STRATEGIES</t>
  </si>
  <si>
    <t>CYCLE DE VIE DES PRODUITS EN GENERAL :</t>
  </si>
  <si>
    <t>Lancement</t>
  </si>
  <si>
    <t>Maturité</t>
  </si>
  <si>
    <t>Croissance</t>
  </si>
  <si>
    <t xml:space="preserve"> Déclin</t>
  </si>
  <si>
    <t xml:space="preserve">6.1        </t>
  </si>
  <si>
    <t>AMELIORATION DE LA QUALITE</t>
  </si>
  <si>
    <t>DES PRODUITS</t>
  </si>
  <si>
    <t xml:space="preserve">AUGMENTATION EN QUANTITE </t>
  </si>
  <si>
    <t xml:space="preserve">Stratégies : </t>
  </si>
  <si>
    <t>………………………………………………………………………………...……………..……</t>
  </si>
  <si>
    <t>6.2FIXATION DU PRIX</t>
  </si>
  <si>
    <t>Appliquer un prix élevé</t>
  </si>
  <si>
    <t>Afficher un bas prix</t>
  </si>
  <si>
    <t xml:space="preserve">S’aligner aux concurrents </t>
  </si>
  <si>
    <t xml:space="preserve">Autres : </t>
  </si>
  <si>
    <t>Coûts de revient POUR LE POULET</t>
  </si>
  <si>
    <t>3000 Ar/kg</t>
  </si>
  <si>
    <t>Prix des concurrents</t>
  </si>
  <si>
    <t>8000 Ar/kg</t>
  </si>
  <si>
    <t>Prix psychologique demandé</t>
  </si>
  <si>
    <t>8500 Ar/kg</t>
  </si>
  <si>
    <t>Prix pratiqué par lecoopérative</t>
  </si>
  <si>
    <t>6500 Ar/kg</t>
  </si>
  <si>
    <t>6.3LA DISTRIBUTION</t>
  </si>
  <si>
    <t xml:space="preserve">Intermédiaire </t>
  </si>
  <si>
    <t xml:space="preserve">6.4LA PROMOTION </t>
  </si>
  <si>
    <t>S’appuyer sur la publicité et la communication (PULL)</t>
  </si>
  <si>
    <t>S’appuyer sur les distributeurs et la force de vente (PUSH)</t>
  </si>
  <si>
    <t>Autres :</t>
  </si>
  <si>
    <t>La promotion :</t>
  </si>
  <si>
    <t xml:space="preserve">Publicité </t>
  </si>
  <si>
    <t>Exposition</t>
  </si>
  <si>
    <t>foire</t>
  </si>
  <si>
    <t>formation dans le centre de formation professionnel</t>
  </si>
  <si>
    <t>7 ANALYSE DE L’ACTIVITE</t>
  </si>
  <si>
    <t>FORCES</t>
  </si>
  <si>
    <t>FAIBLESSES</t>
  </si>
  <si>
    <t>Produit</t>
  </si>
  <si>
    <t>Qualité</t>
  </si>
  <si>
    <t>Quantité</t>
  </si>
  <si>
    <t>Finance</t>
  </si>
  <si>
    <t>Marge bénéficiaire</t>
  </si>
  <si>
    <t xml:space="preserve">Capacité d’autofinancement ou de remboursement </t>
  </si>
  <si>
    <t>Ressources humaines</t>
  </si>
  <si>
    <t>Nombre</t>
  </si>
  <si>
    <t>Qualifications</t>
  </si>
  <si>
    <t>Expériences</t>
  </si>
  <si>
    <t>Distribution/Promotion</t>
  </si>
  <si>
    <t>Mode de distribution</t>
  </si>
  <si>
    <t>Politique de promotion</t>
  </si>
  <si>
    <t>OPPORTUNITES</t>
  </si>
  <si>
    <t>MENACES</t>
  </si>
  <si>
    <t>Satisfaction de la demande</t>
  </si>
  <si>
    <t>Par rapport à la concurrence</t>
  </si>
  <si>
    <t>Par rapport à  l’environnement</t>
  </si>
  <si>
    <t>Utiliser les forces afin de profiter des opportunités du marché</t>
  </si>
  <si>
    <t>Utiliser les forces pour faire face aux menaces</t>
  </si>
  <si>
    <t xml:space="preserve">Profiter des opportunités du marché afin de combler les faiblesses </t>
  </si>
  <si>
    <t>8.1. BESOINS EN INVESTISSEMENT (€)</t>
  </si>
  <si>
    <t>Nature</t>
  </si>
  <si>
    <t>Prix unitaire (€)</t>
  </si>
  <si>
    <t xml:space="preserve"> PRIX TOTALE(€)</t>
  </si>
  <si>
    <t>Durée (An)</t>
  </si>
  <si>
    <t>Amortissement (€)</t>
  </si>
  <si>
    <t>CLOTURE</t>
  </si>
  <si>
    <t>ACHAT COUVEUSE MIXTE (électrique et en petrole)</t>
  </si>
  <si>
    <t>KIT MATERIELS ELEVAGE</t>
  </si>
  <si>
    <t>polaillier et canardiere  en semi dure et en materieaux locaux</t>
  </si>
  <si>
    <t>BUREAU chef de ferme et  les TRAVAILLEURS+MAGASIN EN MATERIAUX LOCAUX</t>
  </si>
  <si>
    <t>maison  de gardien  en materiaux locaux</t>
  </si>
  <si>
    <t>ACHAT GENITEUR COQ</t>
  </si>
  <si>
    <t>ACHAT GENITEUR POULE</t>
  </si>
  <si>
    <t>ACHAT GENITEUR CANARD MALE</t>
  </si>
  <si>
    <t>ACHAT GENITEUR  CANARD FEMELLE</t>
  </si>
  <si>
    <t>ACHAT GROUPE ELECTROGENE DE SECOURS</t>
  </si>
  <si>
    <t>KIT PLAQUE SOLAIRE (batterie,convertisseur,stablisateur, equipement électrique…etc)</t>
  </si>
  <si>
    <t>ACHAT  BROYEUR DE 500 KG/H</t>
  </si>
  <si>
    <t>MOTEUR DIESEL DE 24 CHEVAUX</t>
  </si>
  <si>
    <t>MOTOCULTEUR  18 CV + REMORQUE</t>
  </si>
  <si>
    <t>FRIGIDAIRE POUR CONSERVATION MEDICAMENT ET VACCIN</t>
  </si>
  <si>
    <t>HANGARD POUR PROVENDE</t>
  </si>
  <si>
    <t xml:space="preserve">IMPREVU </t>
  </si>
  <si>
    <t>TOTAL (€)</t>
  </si>
  <si>
    <t>8.2. CHARGES (€)</t>
  </si>
  <si>
    <t>Année 1</t>
  </si>
  <si>
    <t>Année 2</t>
  </si>
  <si>
    <t>Année 3</t>
  </si>
  <si>
    <t>Année 4</t>
  </si>
  <si>
    <t>Années 5</t>
  </si>
  <si>
    <t>Activités</t>
  </si>
  <si>
    <t>Personnel</t>
  </si>
  <si>
    <t>Autres</t>
  </si>
  <si>
    <t>TOTAL</t>
  </si>
  <si>
    <t>RECAPITULATION DE DEPENSE  POUR ELEVAGE POULET</t>
  </si>
  <si>
    <t>LIBELLE</t>
  </si>
  <si>
    <t>MONTANT (€)</t>
  </si>
  <si>
    <t>OBSERVATIONS</t>
  </si>
  <si>
    <t>investissement</t>
  </si>
  <si>
    <t>fond de roullement</t>
  </si>
  <si>
    <t>TOTAL DEPENSE (€)</t>
  </si>
  <si>
    <t>ETUDE DE RENTABILITEE DU PROJET AVICULTURE  POULET LOCAL CANARD</t>
  </si>
  <si>
    <t>ACTIVITE</t>
  </si>
  <si>
    <t>Chiffre d'affaire</t>
  </si>
  <si>
    <t>charges</t>
  </si>
  <si>
    <t>TOTALE DEPENSE SANS INTERET</t>
  </si>
  <si>
    <t>bénéfice 5 ans</t>
  </si>
  <si>
    <t>bénéfice 1 an</t>
  </si>
  <si>
    <t>bénéfice /mois</t>
  </si>
  <si>
    <t>bénéfice/jours</t>
  </si>
  <si>
    <t>ANALYSE RENTABILITEE AVEC INVESTISSEMENT</t>
  </si>
  <si>
    <t>ANALYSE RENTABILITEE  SANS INVESTISSEMENT</t>
  </si>
  <si>
    <t>Tonnage POULETTE (kg)</t>
  </si>
  <si>
    <t>COUT D' investissement (€)/AN</t>
  </si>
  <si>
    <t>fond de roullement (€) de POULETTE</t>
  </si>
  <si>
    <t>depense production POULETTE (€)</t>
  </si>
  <si>
    <t>prix de revient par kg (€)</t>
  </si>
  <si>
    <t>PRIX DE VENTE DE POULETTE / KG (€)</t>
  </si>
  <si>
    <t>BENEFICE PAR KILO DE POULETTE (€)</t>
  </si>
  <si>
    <t>MARGE BENEFICIAIRE/KG EN %GE</t>
  </si>
  <si>
    <t>ECHELONNEMENT DE BUDGET  PAR MOIS  (DEPENSE /RECETTE / BENEFICE  MENSUELLE )</t>
  </si>
  <si>
    <t>DEPENSE</t>
  </si>
  <si>
    <t>TYPE</t>
  </si>
  <si>
    <t>Mois 1</t>
  </si>
  <si>
    <t>Mois 2</t>
  </si>
  <si>
    <t>Mois 3</t>
  </si>
  <si>
    <t>Mois 4</t>
  </si>
  <si>
    <t>Mois 5</t>
  </si>
  <si>
    <t>Mois 6</t>
  </si>
  <si>
    <t>Mois7</t>
  </si>
  <si>
    <t>Mois 8</t>
  </si>
  <si>
    <t>Mois 9</t>
  </si>
  <si>
    <t>Mois 10</t>
  </si>
  <si>
    <t>Mois 11</t>
  </si>
  <si>
    <t>Mois 12</t>
  </si>
  <si>
    <t>INVESTISSEMENT</t>
  </si>
  <si>
    <t>POURCENTAGE</t>
  </si>
  <si>
    <t>FOND DE ROULEMENT</t>
  </si>
  <si>
    <t>CHIFRRE  affaire</t>
  </si>
  <si>
    <t>RECETTE</t>
  </si>
  <si>
    <t xml:space="preserve">BENEFICE </t>
  </si>
  <si>
    <t>Cash flow</t>
  </si>
  <si>
    <t>Exercice</t>
  </si>
  <si>
    <t>Anneé1</t>
  </si>
  <si>
    <t>Anneé2</t>
  </si>
  <si>
    <t>Anneé3</t>
  </si>
  <si>
    <t>Anneé4</t>
  </si>
  <si>
    <t>Anneé5</t>
  </si>
  <si>
    <t>Chiffres d'affaires</t>
  </si>
  <si>
    <t>Consommation de l'exercice</t>
  </si>
  <si>
    <t xml:space="preserve">Valeur ajoutée </t>
  </si>
  <si>
    <t>Charges de personnel</t>
  </si>
  <si>
    <t>Excédent Brut d'Exploitation</t>
  </si>
  <si>
    <t>Dotations aux amortissements</t>
  </si>
  <si>
    <t>Résultat opérationnel</t>
  </si>
  <si>
    <t>Résultat avant impôts</t>
  </si>
  <si>
    <t>Impôts sur les revenus</t>
  </si>
  <si>
    <t>Résultat net</t>
  </si>
  <si>
    <t>Rentabilité commerciale</t>
  </si>
  <si>
    <t>Rentabilité economique</t>
  </si>
  <si>
    <t>CAF</t>
  </si>
  <si>
    <t>Indicateurs de performance</t>
  </si>
  <si>
    <t>Investissements</t>
  </si>
  <si>
    <t xml:space="preserve">Délai de récupération </t>
  </si>
  <si>
    <t>Coefficient d'actualisation</t>
  </si>
  <si>
    <t>CAF actualisé</t>
  </si>
  <si>
    <t>DR actualisé</t>
  </si>
  <si>
    <t>VAN</t>
  </si>
  <si>
    <t>TRI</t>
  </si>
  <si>
    <t>IP</t>
  </si>
  <si>
    <t>POUR CONCLUSION  ET RECAPTULATION  DU PROJET INTEGRE MINA  sera un projet de type intégré pour optimiser les activitées citées ci-dessus d'une part et d'autre part pour valoriser les eaux usées venant de l'élevage de poisson afin d'augmenter au maximum la recette</t>
  </si>
  <si>
    <t>LOCALISATION</t>
  </si>
  <si>
    <t>TAMATAVE</t>
  </si>
  <si>
    <t>ACTIVITEE</t>
  </si>
  <si>
    <t>FERME ECOLE/CENTRE DE FORMATION PROFESSIONNEL/TRAITEMENT DE DECHET /VENTE DE PRODUITS AGRICOLE ET ELEVAGE/ENGRAISSEMENT DE POISSON/ PRODUCTION  ET VENTE DE PROVANDE/TRANSFORMATION DES PRODUITS AGRICOLE ET ELEVAGE</t>
  </si>
  <si>
    <t>TABLEAU DES ACTIVITEES</t>
  </si>
  <si>
    <t>RUBRIQUE</t>
  </si>
  <si>
    <t>NOM DU RESPONSABLE</t>
  </si>
  <si>
    <t>LIEU</t>
  </si>
  <si>
    <t>TYPE D'ACTIVITEE</t>
  </si>
  <si>
    <t>FERME ECOLE</t>
  </si>
  <si>
    <t>MINA/EQUIPE  IMT  DIAPO</t>
  </si>
  <si>
    <t>ACTIVITEE AGRAIRE ET PISCICOLE</t>
  </si>
  <si>
    <t>AGRICOLE</t>
  </si>
  <si>
    <t>pepiniere, riziculture,mais,soja,pistache</t>
  </si>
  <si>
    <t>Elevage canard et poulet local</t>
  </si>
  <si>
    <t xml:space="preserve">VENTE </t>
  </si>
  <si>
    <t xml:space="preserve"> VENTE provande</t>
  </si>
  <si>
    <t>matiere premiere pour provande</t>
  </si>
  <si>
    <t>charbon écologique</t>
  </si>
  <si>
    <t>petits animaux ( cannetons et poussin 10j)</t>
  </si>
  <si>
    <t xml:space="preserve"> CENTRE DE FORMATION PROFESSIONNEL</t>
  </si>
  <si>
    <t>patisserie, mecanique auto, langue, agri business, informatique</t>
  </si>
  <si>
    <t>agribusinees , informatique , patsiserie, pisciculture, langue, maçonnerie, traitement de dechet, gestion simplifiée, management et  organisation paysanne</t>
  </si>
  <si>
    <t>Sytéme de Riziculture Amélioré</t>
  </si>
  <si>
    <t>culture de manioc et mais</t>
  </si>
  <si>
    <t>culture maraichere</t>
  </si>
  <si>
    <t>poulet gasy</t>
  </si>
  <si>
    <t>AQUACULTURE</t>
  </si>
  <si>
    <t>Tilapia</t>
  </si>
  <si>
    <t>carpe</t>
  </si>
  <si>
    <t>crevette d'eau douce</t>
  </si>
  <si>
    <t>spiruline</t>
  </si>
  <si>
    <t>fabrication de charbon ecologique</t>
  </si>
  <si>
    <t>fabrication de composte et lombri composte</t>
  </si>
  <si>
    <t>fabrication de provande pour les animaux</t>
  </si>
  <si>
    <t>DECORTIQUERIE</t>
  </si>
  <si>
    <t xml:space="preserve">En vu d'avoir des sons de riz </t>
  </si>
  <si>
    <t>BROYAGE DE MATIERES PREMIERE POUR PROVANDE</t>
  </si>
  <si>
    <t>Vente et broyage des matieres prmieres pour provande</t>
  </si>
  <si>
    <t>PRODUCTION DES PETITS  ANIMAUX ET VENTE</t>
  </si>
  <si>
    <t>vente et production des cannetons et poussins</t>
  </si>
  <si>
    <t>ECOULLEMENT DES PRODUITS DE LA FERME ECOLE</t>
  </si>
  <si>
    <t>recherche des preneur ou grossiste pour nos produits</t>
  </si>
  <si>
    <t>CHEF DE PROJET</t>
  </si>
  <si>
    <t>MINA</t>
  </si>
  <si>
    <t xml:space="preserve">CONCEPTEUR ET REALISATEUR DE PROJET </t>
  </si>
  <si>
    <t>SIMULATION DES ACTIVITEE FERME INTEGREE</t>
  </si>
  <si>
    <t>SOUS ACTIVITEE</t>
  </si>
  <si>
    <t>DEBUT</t>
  </si>
  <si>
    <t>FIN</t>
  </si>
  <si>
    <t>TONNAGE PAR BASSIN PAR CYCLE OU NOMBRE</t>
  </si>
  <si>
    <t>NOMBRE PAR MOIS</t>
  </si>
  <si>
    <t>NOMBRE TOTAL ANNUEL</t>
  </si>
  <si>
    <t>MOIS 5</t>
  </si>
  <si>
    <t>MOIS 7</t>
  </si>
  <si>
    <t>MOIS 8</t>
  </si>
  <si>
    <t>MOIS9</t>
  </si>
  <si>
    <t>MOIS 10</t>
  </si>
  <si>
    <t>MOIS 11</t>
  </si>
  <si>
    <t>MOIS 12</t>
  </si>
  <si>
    <t>BENEFICE</t>
  </si>
  <si>
    <t>CONSTRUCTION BASSIN</t>
  </si>
  <si>
    <t>MOIS 1</t>
  </si>
  <si>
    <t>MOIS 3</t>
  </si>
  <si>
    <t>ACHAT GENITEUR TILAPIA</t>
  </si>
  <si>
    <t>ELEVAGE GENITEUR TILAPIA</t>
  </si>
  <si>
    <t>PRODUCTION ALEVIN TILAPIA</t>
  </si>
  <si>
    <t>MOIS1</t>
  </si>
  <si>
    <t>ENGRAISSEMENT TILAPIA</t>
  </si>
  <si>
    <t>ACHAT GENITEUR CARPE</t>
  </si>
  <si>
    <t xml:space="preserve">NOV </t>
  </si>
  <si>
    <t>DEC</t>
  </si>
  <si>
    <t>ELEVAGE GENITEUR CARPE</t>
  </si>
  <si>
    <t>PRODUCTION ALEVIN CARPE</t>
  </si>
  <si>
    <t>JANV</t>
  </si>
  <si>
    <t>ENGRAISSEMENT CARPE</t>
  </si>
  <si>
    <t>VENTE TILAPIA</t>
  </si>
  <si>
    <t>6 MOIS APRES</t>
  </si>
  <si>
    <t>JUSQU’À LA FIN DU PROJET</t>
  </si>
  <si>
    <t xml:space="preserve">VENTE CARPE </t>
  </si>
  <si>
    <t xml:space="preserve">9 MOIS APRES </t>
  </si>
  <si>
    <t>VENTE ALEVIN TILAPIA</t>
  </si>
  <si>
    <t xml:space="preserve">APRES  6 MOIS </t>
  </si>
  <si>
    <t>VENTE ALEVIN CARPE</t>
  </si>
  <si>
    <t>A PARTIR MOIS DE JANVIER</t>
  </si>
  <si>
    <t>DEPENSE PAR BASSIN/AN</t>
  </si>
  <si>
    <t>POURCENTAGE %</t>
  </si>
  <si>
    <t>AUTRES CHARGES</t>
  </si>
  <si>
    <t>Rubriques</t>
  </si>
  <si>
    <t>An1</t>
  </si>
  <si>
    <t>An2</t>
  </si>
  <si>
    <t>An3</t>
  </si>
  <si>
    <t>An4</t>
  </si>
  <si>
    <t>An5</t>
  </si>
  <si>
    <t>Fournitures bureau</t>
  </si>
  <si>
    <t>Quantité (mois)</t>
  </si>
  <si>
    <t>PU Ar</t>
  </si>
  <si>
    <t>Montant</t>
  </si>
  <si>
    <t>Promotion</t>
  </si>
  <si>
    <t>Communication</t>
  </si>
  <si>
    <t>Entretien</t>
  </si>
  <si>
    <t>Eau et electricité  PV</t>
  </si>
  <si>
    <t>Quantité (PV)</t>
  </si>
  <si>
    <t>PU / mois (Ar)</t>
  </si>
  <si>
    <t>Eau et electricité  Centrale</t>
  </si>
  <si>
    <t>Assurance</t>
  </si>
  <si>
    <t>Parking PV</t>
  </si>
  <si>
    <t>TOTAL MOIS</t>
  </si>
  <si>
    <t>TOTAL ANNUEL</t>
  </si>
  <si>
    <t>Annexe (1) :</t>
  </si>
  <si>
    <t>AUTRES CHARGES (€)</t>
  </si>
  <si>
    <t>Activité</t>
  </si>
  <si>
    <t>Prix unitaire</t>
  </si>
  <si>
    <t>Année 5</t>
  </si>
  <si>
    <t>Qté</t>
  </si>
  <si>
    <t>Total</t>
  </si>
  <si>
    <t>achat ingredient pour provenderie</t>
  </si>
  <si>
    <t>achat aliment géniteur CANARD</t>
  </si>
  <si>
    <t>achat aliment géniteur POULET LOCAL</t>
  </si>
  <si>
    <t>Achat provande pour canard</t>
  </si>
  <si>
    <t>Achat provande pour POULETTE</t>
  </si>
  <si>
    <t>ACHAT MEDICAMENT</t>
  </si>
  <si>
    <t>Total (€)</t>
  </si>
  <si>
    <t>Qté (mois)</t>
  </si>
  <si>
    <t>CONSULTANT CONCEPTEUR ET REALISATEUR PROJET</t>
  </si>
  <si>
    <t xml:space="preserve">chef de ferme de production </t>
  </si>
  <si>
    <t>gardien</t>
  </si>
  <si>
    <t>OUVRIER</t>
  </si>
  <si>
    <t>Total(€)</t>
  </si>
  <si>
    <t>impôt</t>
  </si>
  <si>
    <t>charges sociales</t>
  </si>
  <si>
    <t>entretien infrastructure</t>
  </si>
  <si>
    <t>JIRAMA</t>
  </si>
  <si>
    <t xml:space="preserve">CARBURANT </t>
  </si>
  <si>
    <t>SUIVI  DU PROJET</t>
  </si>
  <si>
    <t>LOCATION POINT DE VENTE EN VILLE</t>
  </si>
  <si>
    <t>Total  (€)</t>
  </si>
  <si>
    <t>8.3.  CHIFFRE D'AFFAIRES (€)</t>
  </si>
  <si>
    <t>FOIE GRAS</t>
  </si>
  <si>
    <t>PU</t>
  </si>
  <si>
    <t>VENTE PROVENDE</t>
  </si>
  <si>
    <t>CHAIR canard</t>
  </si>
  <si>
    <t>POULET DE CHAIR</t>
  </si>
</sst>
</file>

<file path=xl/styles.xml><?xml version="1.0" encoding="utf-8"?>
<styleSheet xmlns="http://schemas.openxmlformats.org/spreadsheetml/2006/main">
  <numFmts count="1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-* #,##0.00\ _€_-;\-* #,##0.00\ _€_-;_-* &quot;-&quot;??\ _€_-;_-@_-"/>
    <numFmt numFmtId="44" formatCode="_(&quot;$&quot;* #,##0.00_);_(&quot;$&quot;* \(#,##0.00\);_(&quot;$&quot;* &quot;-&quot;??_);_(@_)"/>
    <numFmt numFmtId="59" formatCode="General"/>
    <numFmt numFmtId="60" formatCode="General"/>
    <numFmt numFmtId="61" formatCode="General"/>
    <numFmt numFmtId="62" formatCode="General"/>
    <numFmt numFmtId="63" formatCode="General"/>
    <numFmt numFmtId="64" formatCode="General"/>
    <numFmt numFmtId="65" formatCode="General"/>
    <numFmt numFmtId="66" formatCode="General"/>
    <numFmt numFmtId="67" formatCode="General"/>
    <numFmt numFmtId="68" formatCode="General"/>
    <numFmt numFmtId="69" formatCode="General"/>
    <numFmt numFmtId="70" formatCode="General"/>
    <numFmt numFmtId="71" formatCode="General"/>
    <numFmt numFmtId="72" formatCode="General"/>
    <numFmt numFmtId="73" formatCode="General"/>
    <numFmt numFmtId="74" formatCode="General"/>
    <numFmt numFmtId="75" formatCode="General"/>
    <numFmt numFmtId="76" formatCode="General"/>
    <numFmt numFmtId="77" formatCode="General"/>
    <numFmt numFmtId="78" formatCode="General"/>
    <numFmt numFmtId="79" formatCode="General"/>
    <numFmt numFmtId="80" formatCode="General"/>
    <numFmt numFmtId="81" formatCode="General"/>
    <numFmt numFmtId="82" formatCode="General"/>
    <numFmt numFmtId="83" formatCode="General"/>
    <numFmt numFmtId="84" formatCode="General"/>
    <numFmt numFmtId="85" formatCode="General"/>
    <numFmt numFmtId="86" formatCode="General"/>
    <numFmt numFmtId="87" formatCode="General"/>
    <numFmt numFmtId="88" formatCode="General"/>
    <numFmt numFmtId="89" formatCode="General"/>
    <numFmt numFmtId="90" formatCode="General"/>
    <numFmt numFmtId="91" formatCode="General"/>
    <numFmt numFmtId="92" formatCode="General"/>
    <numFmt numFmtId="93" formatCode="General"/>
    <numFmt numFmtId="94" formatCode="General"/>
    <numFmt numFmtId="95" formatCode="General"/>
    <numFmt numFmtId="96" formatCode="General"/>
    <numFmt numFmtId="97" formatCode="General"/>
    <numFmt numFmtId="98" formatCode="General"/>
    <numFmt numFmtId="99" formatCode="General"/>
    <numFmt numFmtId="100" formatCode="General"/>
    <numFmt numFmtId="101" formatCode="General"/>
    <numFmt numFmtId="102" formatCode="General"/>
    <numFmt numFmtId="103" formatCode="General"/>
    <numFmt numFmtId="104" formatCode="General"/>
    <numFmt numFmtId="105" formatCode="General"/>
    <numFmt numFmtId="106" formatCode="General"/>
    <numFmt numFmtId="107" formatCode="General"/>
    <numFmt numFmtId="108" formatCode="General"/>
    <numFmt numFmtId="109" formatCode="General"/>
    <numFmt numFmtId="110" formatCode="General"/>
    <numFmt numFmtId="111" formatCode="General"/>
    <numFmt numFmtId="112" formatCode="General"/>
    <numFmt numFmtId="113" formatCode="General"/>
    <numFmt numFmtId="114" formatCode="General"/>
    <numFmt numFmtId="115" formatCode="General"/>
    <numFmt numFmtId="116" formatCode="General"/>
    <numFmt numFmtId="117" formatCode="General"/>
    <numFmt numFmtId="118" formatCode="General"/>
    <numFmt numFmtId="119" formatCode="General"/>
    <numFmt numFmtId="120" formatCode="General"/>
    <numFmt numFmtId="121" formatCode="General"/>
    <numFmt numFmtId="122" formatCode="General"/>
    <numFmt numFmtId="123" formatCode="General"/>
    <numFmt numFmtId="124" formatCode="General"/>
    <numFmt numFmtId="125" formatCode="General"/>
    <numFmt numFmtId="126" formatCode="General"/>
    <numFmt numFmtId="127" formatCode="General"/>
    <numFmt numFmtId="128" formatCode="General"/>
    <numFmt numFmtId="129" formatCode="General"/>
    <numFmt numFmtId="130" formatCode="General"/>
    <numFmt numFmtId="131" formatCode="General"/>
    <numFmt numFmtId="132" formatCode="General"/>
    <numFmt numFmtId="133" formatCode="General"/>
    <numFmt numFmtId="134" formatCode="General"/>
    <numFmt numFmtId="135" formatCode="General"/>
    <numFmt numFmtId="136" formatCode="General"/>
    <numFmt numFmtId="137" formatCode="General"/>
    <numFmt numFmtId="138" formatCode="General"/>
    <numFmt numFmtId="139" formatCode="General"/>
    <numFmt numFmtId="140" formatCode="General"/>
    <numFmt numFmtId="141" formatCode="General"/>
    <numFmt numFmtId="142" formatCode="General"/>
    <numFmt numFmtId="143" formatCode="General"/>
    <numFmt numFmtId="144" formatCode="General"/>
    <numFmt numFmtId="145" formatCode="General"/>
    <numFmt numFmtId="146" formatCode="General"/>
    <numFmt numFmtId="147" formatCode="General"/>
    <numFmt numFmtId="148" formatCode="General"/>
    <numFmt numFmtId="149" formatCode="General"/>
    <numFmt numFmtId="150" formatCode="General"/>
    <numFmt numFmtId="151" formatCode="General"/>
    <numFmt numFmtId="152" formatCode="General"/>
    <numFmt numFmtId="153" formatCode="General"/>
    <numFmt numFmtId="154" formatCode="General"/>
    <numFmt numFmtId="155" formatCode="General"/>
    <numFmt numFmtId="156" formatCode="General"/>
    <numFmt numFmtId="157" formatCode="General"/>
    <numFmt numFmtId="158" formatCode="General"/>
    <numFmt numFmtId="159" formatCode="General"/>
    <numFmt numFmtId="160" formatCode="General"/>
    <numFmt numFmtId="161" formatCode="General"/>
    <numFmt numFmtId="162" formatCode="General"/>
    <numFmt numFmtId="163" formatCode="General"/>
    <numFmt numFmtId="164" formatCode="_-* #,##0\ _€_-;\-* #,##0\ _€_-;_-* &quot;-&quot;??\ _€_-;_-@_-"/>
    <numFmt numFmtId="165" formatCode="_-* #,##0.0\ _€_-;\-* #,##0.0\ _€_-;_-* &quot;-&quot;??\ _€_-;_-@_-"/>
    <numFmt numFmtId="166" formatCode="[$-40C]mmmm\-yy;@"/>
    <numFmt numFmtId="167" formatCode="0_ ;\-0\ "/>
    <numFmt numFmtId="168" formatCode="#,##0_ ;\-#,##0\ "/>
    <numFmt numFmtId="169" formatCode="0.0"/>
  </numFmts>
  <fonts count="24">
    <font>
      <sz val="11.0"/>
      <color rgb="ff000000"/>
      <name val="Calibri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Calibri"/>
      <charset val="1"/>
    </font>
    <font>
      <sz val="11.0"/>
      <color rgb="ff000000"/>
      <name val="Calibri"/>
      <b/>
      <charset val="1"/>
    </font>
    <font>
      <sz val="11.0"/>
      <color rgb="ff000000"/>
      <name val="Calibri"/>
      <b/>
      <u val="single"/>
      <charset val="1"/>
    </font>
    <font>
      <sz val="10.0"/>
      <color rgb="ff000000"/>
      <name val="Calibri"/>
      <b/>
      <charset val="1"/>
    </font>
    <font>
      <sz val="9.0"/>
      <color rgb="ff000000"/>
      <name val="Calibri"/>
      <b/>
      <charset val="1"/>
    </font>
    <font>
      <sz val="14.0"/>
      <color rgb="ff000000"/>
      <name val="Calibri"/>
      <b/>
      <charset val="1"/>
    </font>
    <font>
      <sz val="14.0"/>
      <color rgb="ff000000"/>
      <name val="Calibri"/>
      <charset val="1"/>
    </font>
    <font>
      <sz val="16.0"/>
      <color rgb="ff000000"/>
      <name val="Calibri"/>
      <b/>
      <charset val="1"/>
    </font>
    <font>
      <sz val="11.0"/>
      <color rgb="ffffffff"/>
      <name val="Calibri"/>
      <charset val="1"/>
    </font>
    <font>
      <sz val="8.0"/>
      <color rgb="ffffffff"/>
      <name val="Calibri"/>
      <charset val="1"/>
    </font>
    <font>
      <sz val="11.0"/>
      <color rgb="ff000000"/>
      <name val="Calibri"/>
      <i/>
      <b/>
      <charset val="1"/>
    </font>
    <font>
      <sz val="16.0"/>
      <color rgb="ffff0000"/>
      <name val="Calibri"/>
      <charset val="1"/>
    </font>
    <font>
      <sz val="16.0"/>
      <color rgb="ff000000"/>
      <name val="Calibri"/>
      <charset val="1"/>
    </font>
    <font>
      <sz val="14.0"/>
      <color rgb="ff000000"/>
      <name val="Aharoni"/>
      <b/>
      <charset val="1"/>
    </font>
    <font>
      <sz val="10.0"/>
      <color rgb="ff000000"/>
      <name val="Calibri"/>
      <i/>
      <b/>
      <charset val="1"/>
    </font>
    <font>
      <sz val="20.0"/>
      <color rgb="ff000000"/>
      <name val="Calibri"/>
      <charset val="1"/>
    </font>
    <font>
      <sz val="22.0"/>
      <color rgb="ff000000"/>
      <name val="Calibri"/>
      <charset val="1"/>
    </font>
    <font>
      <sz val="11.0"/>
      <color rgb="ff0000ff"/>
      <name val="Calibri"/>
      <u val="single"/>
      <charset val="1"/>
    </font>
    <font>
      <sz val="28.0"/>
      <color rgb="ff000000"/>
      <name val="Calibri"/>
      <charset val="1"/>
    </font>
    <font>
      <sz val="26.0"/>
      <color rgb="ff000000"/>
      <name val="Calibri"/>
      <b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/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0" fillId="0" borderId="0" xfId="0" applyNumberFormat="1" applyFont="1" applyBorder="1" applyAlignment="1">
      <alignment horizontal="general" vertical="bottom"/>
    </xf>
    <xf numFmtId="0" fontId="0" fillId="0" borderId="0" xfId="0" applyNumberFormat="1" applyFont="1" applyFill="1" applyBorder="1" applyAlignment="1">
      <alignment horizontal="general" vertical="bottom"/>
    </xf>
    <xf numFmtId="0" fontId="1" fillId="0" borderId="0" xfId="0" applyNumberFormat="1" applyFont="1" applyFill="1" applyBorder="1" applyAlignment="1">
      <alignment horizontal="general" vertical="bottom"/>
    </xf>
    <xf numFmtId="0" fontId="5" fillId="0" borderId="0" xfId="0" applyNumberFormat="1" applyFont="1" applyBorder="1" applyAlignment="1">
      <alignment horizontal="general" vertical="bottom"/>
    </xf>
    <xf numFmtId="0" fontId="0" fillId="0" borderId="1" xfId="0" applyNumberFormat="1" applyFont="1" applyBorder="1" applyAlignment="1">
      <alignment horizontal="general" vertical="bottom"/>
    </xf>
    <xf numFmtId="0" fontId="5" fillId="0" borderId="1" xfId="0" applyNumberFormat="1" applyFont="1" applyBorder="1" applyAlignment="1">
      <alignment horizontal="general" vertical="bottom"/>
    </xf>
    <xf numFmtId="164" fontId="0" fillId="0" borderId="1" xfId="0" applyNumberFormat="1" applyFont="1" applyBorder="1" applyAlignment="1">
      <alignment horizontal="general" vertical="bottom"/>
    </xf>
    <xf numFmtId="164" fontId="0" fillId="0" borderId="0" xfId="0" applyNumberFormat="1" applyFont="1" applyBorder="1" applyAlignment="1">
      <alignment horizontal="general" vertical="bottom"/>
    </xf>
    <xf numFmtId="164" fontId="5" fillId="0" borderId="1" xfId="0" applyNumberFormat="1" applyFont="1" applyBorder="1" applyAlignment="1">
      <alignment horizontal="general" vertical="bottom"/>
    </xf>
    <xf numFmtId="4" fontId="5" fillId="0" borderId="0" xfId="0" applyNumberFormat="1" applyFont="1" applyBorder="1" applyAlignment="1">
      <alignment horizontal="general" vertical="bottom"/>
    </xf>
    <xf numFmtId="0" fontId="5" fillId="0" borderId="0" xfId="0" applyNumberFormat="1" applyFont="1" applyFill="1" applyBorder="1" applyAlignment="1">
      <alignment horizontal="general" vertical="bottom"/>
    </xf>
    <xf numFmtId="164" fontId="5" fillId="0" borderId="0" xfId="0" applyNumberFormat="1" applyFont="1" applyFill="1" applyBorder="1" applyAlignment="1">
      <alignment horizontal="general" vertical="bottom"/>
    </xf>
    <xf numFmtId="0" fontId="6" fillId="0" borderId="0" xfId="0" applyNumberFormat="1" applyFont="1" applyBorder="1" applyAlignment="1">
      <alignment horizontal="general" vertical="bottom"/>
    </xf>
    <xf numFmtId="0" fontId="5" fillId="0" borderId="0" xfId="0" applyNumberFormat="1" applyFont="1" applyBorder="1" applyAlignment="1">
      <alignment horizontal="justify" vertical="bottom"/>
    </xf>
    <xf numFmtId="0" fontId="0" fillId="0" borderId="0" xfId="0" applyNumberFormat="1" applyFont="1" applyBorder="1" applyAlignment="1">
      <alignment horizontal="left" vertical="bottom"/>
    </xf>
    <xf numFmtId="0" fontId="0" fillId="0" borderId="0" xfId="0" applyNumberFormat="1" applyFont="1" applyBorder="1" applyAlignment="1">
      <alignment horizontal="justify" vertical="bottom"/>
    </xf>
    <xf numFmtId="0" fontId="5" fillId="0" borderId="0" xfId="0" applyNumberFormat="1" applyFont="1" applyBorder="1" applyAlignment="1">
      <alignment horizontal="left" vertical="bottom"/>
    </xf>
    <xf numFmtId="0" fontId="7" fillId="0" borderId="1" xfId="0" applyNumberFormat="1" applyFont="1" applyBorder="1" applyAlignment="1">
      <alignment horizontal="general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bottom"/>
    </xf>
    <xf numFmtId="0" fontId="0" fillId="0" borderId="0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general" vertical="bottom"/>
    </xf>
    <xf numFmtId="0" fontId="6" fillId="0" borderId="0" xfId="0" applyNumberFormat="1" applyFont="1" applyBorder="1" applyAlignment="1">
      <alignment horizontal="right" vertical="bottom"/>
    </xf>
    <xf numFmtId="0" fontId="9" fillId="0" borderId="0" xfId="0" applyNumberFormat="1" applyFont="1" applyBorder="1" applyAlignment="1">
      <alignment horizontal="left" vertical="bottom"/>
    </xf>
    <xf numFmtId="164" fontId="10" fillId="0" borderId="0" xfId="0" applyNumberFormat="1" applyFont="1" applyBorder="1" applyAlignment="1">
      <alignment horizontal="general" vertical="bottom"/>
    </xf>
    <xf numFmtId="0" fontId="5" fillId="0" borderId="1" xfId="0" applyNumberFormat="1" applyFont="1" applyBorder="1" applyAlignment="1">
      <alignment horizontal="center" vertical="bottom"/>
    </xf>
    <xf numFmtId="0" fontId="0" fillId="0" borderId="3" xfId="0" applyNumberFormat="1" applyFont="1" applyBorder="1" applyAlignment="1">
      <alignment horizontal="center" vertical="bottom" wrapText="1"/>
    </xf>
    <xf numFmtId="0" fontId="0" fillId="0" borderId="4" xfId="0" applyNumberFormat="1" applyFont="1" applyBorder="1" applyAlignment="1">
      <alignment horizontal="center" vertical="bottom" wrapText="1"/>
    </xf>
    <xf numFmtId="0" fontId="10" fillId="0" borderId="0" xfId="0" applyNumberFormat="1" applyFont="1" applyBorder="1" applyAlignment="1">
      <alignment horizontal="center" vertical="bottom"/>
    </xf>
    <xf numFmtId="0" fontId="11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general" vertical="bottom"/>
    </xf>
    <xf numFmtId="0" fontId="12" fillId="0" borderId="0" xfId="0" applyNumberFormat="1" applyFont="1" applyFill="1" applyBorder="1" applyAlignment="1">
      <alignment horizontal="general" vertical="bottom" wrapText="1"/>
    </xf>
    <xf numFmtId="0" fontId="13" fillId="0" borderId="0" xfId="0" applyNumberFormat="1" applyFont="1" applyBorder="1" applyAlignment="1">
      <alignment horizontal="general" vertical="bottom"/>
    </xf>
    <xf numFmtId="0" fontId="9" fillId="0" borderId="0" xfId="0" applyNumberFormat="1" applyFont="1" applyBorder="1" applyAlignment="1">
      <alignment horizontal="general" vertical="bottom"/>
    </xf>
    <xf numFmtId="0" fontId="0" fillId="0" borderId="0" xfId="0" applyNumberFormat="1" applyFont="1" applyBorder="1" applyAlignment="1">
      <alignment horizontal="general" vertical="bottom" wrapText="1"/>
    </xf>
    <xf numFmtId="0" fontId="5" fillId="0" borderId="0" xfId="0" applyNumberFormat="1" applyFont="1" applyBorder="1" applyAlignment="1">
      <alignment horizontal="general" vertical="bottom" wrapText="1"/>
    </xf>
    <xf numFmtId="164" fontId="14" fillId="0" borderId="1" xfId="0" applyNumberFormat="1" applyFont="1" applyBorder="1" applyAlignment="1">
      <alignment horizontal="center" vertical="bottom"/>
    </xf>
    <xf numFmtId="0" fontId="14" fillId="0" borderId="1" xfId="0" applyNumberFormat="1" applyFont="1" applyBorder="1" applyAlignment="1">
      <alignment horizontal="center" vertical="bottom"/>
    </xf>
    <xf numFmtId="0" fontId="10" fillId="0" borderId="2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bottom"/>
    </xf>
    <xf numFmtId="0" fontId="16" fillId="0" borderId="1" xfId="0" applyNumberFormat="1" applyFont="1" applyBorder="1" applyAlignment="1">
      <alignment horizontal="center" vertical="bottom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general" vertical="center"/>
    </xf>
    <xf numFmtId="0" fontId="5" fillId="0" borderId="1" xfId="0" applyNumberFormat="1" applyFont="1" applyBorder="1" applyAlignment="1">
      <alignment horizontal="general" vertical="center"/>
    </xf>
    <xf numFmtId="164" fontId="5" fillId="0" borderId="1" xfId="0" applyNumberFormat="1" applyFont="1" applyBorder="1" applyAlignment="1">
      <alignment horizontal="general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general" vertical="bottom"/>
    </xf>
    <xf numFmtId="0" fontId="5" fillId="0" borderId="3" xfId="0" applyNumberFormat="1" applyFont="1" applyBorder="1" applyAlignment="1">
      <alignment horizontal="general" vertical="bottom"/>
    </xf>
    <xf numFmtId="164" fontId="5" fillId="0" borderId="4" xfId="0" applyNumberFormat="1" applyFont="1" applyBorder="1" applyAlignment="1">
      <alignment horizontal="general" vertical="bottom"/>
    </xf>
    <xf numFmtId="164" fontId="5" fillId="0" borderId="3" xfId="0" applyNumberFormat="1" applyFont="1" applyBorder="1" applyAlignment="1">
      <alignment horizontal="general" vertical="bottom"/>
    </xf>
    <xf numFmtId="164" fontId="5" fillId="0" borderId="5" xfId="0" applyNumberFormat="1" applyFont="1" applyBorder="1" applyAlignment="1">
      <alignment horizontal="general" vertical="bottom"/>
    </xf>
    <xf numFmtId="0" fontId="17" fillId="0" borderId="0" xfId="0" applyNumberFormat="1" applyFont="1" applyBorder="1" applyAlignment="1">
      <alignment horizontal="general" vertical="bottom"/>
    </xf>
    <xf numFmtId="0" fontId="17" fillId="0" borderId="0" xfId="0" applyNumberFormat="1" applyFont="1" applyBorder="1" applyAlignment="1">
      <alignment horizontal="right" vertical="bottom"/>
    </xf>
    <xf numFmtId="0" fontId="9" fillId="0" borderId="1" xfId="0" applyNumberFormat="1" applyFont="1" applyBorder="1" applyAlignment="1">
      <alignment horizontal="center" vertical="bottom"/>
    </xf>
    <xf numFmtId="0" fontId="10" fillId="0" borderId="1" xfId="0" applyNumberFormat="1" applyFont="1" applyBorder="1" applyAlignment="1">
      <alignment horizontal="center" vertical="bottom"/>
    </xf>
    <xf numFmtId="167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bottom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bottom" wrapText="1"/>
    </xf>
    <xf numFmtId="164" fontId="5" fillId="0" borderId="0" xfId="0" applyNumberFormat="1" applyFont="1" applyBorder="1" applyAlignment="1">
      <alignment horizontal="general" vertical="bottom"/>
    </xf>
    <xf numFmtId="0" fontId="6" fillId="0" borderId="0" xfId="0" applyNumberFormat="1" applyFont="1" applyBorder="1" applyAlignment="1">
      <alignment horizontal="left" vertical="bottom"/>
    </xf>
    <xf numFmtId="14" fontId="0" fillId="0" borderId="5" xfId="0" applyNumberFormat="1" applyFont="1" applyBorder="1" applyAlignment="1">
      <alignment horizontal="center" vertical="bottom"/>
    </xf>
    <xf numFmtId="0" fontId="0" fillId="0" borderId="7" xfId="0" applyNumberFormat="1" applyFont="1" applyBorder="1" applyAlignment="1">
      <alignment horizontal="general" vertical="bottom"/>
    </xf>
    <xf numFmtId="0" fontId="7" fillId="0" borderId="1" xfId="0" applyNumberFormat="1" applyFont="1" applyBorder="1" applyAlignment="1">
      <alignment horizontal="general" vertical="center" wrapText="1"/>
    </xf>
    <xf numFmtId="165" fontId="0" fillId="0" borderId="1" xfId="0" applyNumberFormat="1" applyFont="1" applyBorder="1" applyAlignment="1">
      <alignment horizontal="general" vertical="bottom"/>
    </xf>
    <xf numFmtId="165" fontId="0" fillId="0" borderId="8" xfId="0" applyNumberFormat="1" applyFont="1" applyFill="1" applyBorder="1" applyAlignment="1">
      <alignment horizontal="general" vertical="bottom"/>
    </xf>
    <xf numFmtId="164" fontId="18" fillId="0" borderId="1" xfId="0" applyNumberFormat="1" applyFont="1" applyBorder="1" applyAlignment="1">
      <alignment horizontal="center" vertical="bottom"/>
    </xf>
    <xf numFmtId="0" fontId="18" fillId="0" borderId="1" xfId="0" applyNumberFormat="1" applyFont="1" applyBorder="1" applyAlignment="1">
      <alignment horizontal="center" vertical="bottom"/>
    </xf>
    <xf numFmtId="0" fontId="7" fillId="0" borderId="1" xfId="0" applyNumberFormat="1" applyFont="1" applyBorder="1" applyAlignment="1">
      <alignment horizontal="general" vertical="bottom"/>
    </xf>
    <xf numFmtId="0" fontId="7" fillId="0" borderId="3" xfId="0" applyNumberFormat="1" applyFont="1" applyBorder="1" applyAlignment="1">
      <alignment horizontal="general" vertical="bottom"/>
    </xf>
    <xf numFmtId="164" fontId="7" fillId="0" borderId="3" xfId="0" applyNumberFormat="1" applyFont="1" applyBorder="1" applyAlignment="1">
      <alignment horizontal="general" vertical="bottom"/>
    </xf>
    <xf numFmtId="164" fontId="7" fillId="0" borderId="5" xfId="0" applyNumberFormat="1" applyFont="1" applyBorder="1" applyAlignment="1">
      <alignment horizontal="general" vertical="bottom"/>
    </xf>
    <xf numFmtId="164" fontId="7" fillId="0" borderId="4" xfId="0" applyNumberFormat="1" applyFont="1" applyBorder="1" applyAlignment="1">
      <alignment horizontal="general" vertical="bottom"/>
    </xf>
    <xf numFmtId="0" fontId="5" fillId="0" borderId="8" xfId="0" applyNumberFormat="1" applyFont="1" applyFill="1" applyBorder="1" applyAlignment="1">
      <alignment horizontal="center" vertical="bottom"/>
    </xf>
    <xf numFmtId="165" fontId="0" fillId="0" borderId="0" xfId="0" applyNumberFormat="1" applyFont="1" applyBorder="1" applyAlignment="1">
      <alignment horizontal="general" vertical="bottom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general" vertical="bottom" wrapText="1"/>
    </xf>
    <xf numFmtId="0" fontId="7" fillId="0" borderId="9" xfId="0" applyNumberFormat="1" applyFont="1" applyBorder="1" applyAlignment="1">
      <alignment horizontal="center" vertical="center"/>
    </xf>
    <xf numFmtId="43" fontId="0" fillId="0" borderId="1" xfId="0" applyNumberFormat="1" applyFont="1" applyBorder="1" applyAlignment="1">
      <alignment horizontal="general" vertical="bottom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bottom"/>
    </xf>
    <xf numFmtId="0" fontId="0" fillId="0" borderId="3" xfId="0" applyNumberFormat="1" applyFont="1" applyBorder="1" applyAlignment="1">
      <alignment horizontal="center" vertical="bottom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bottom" wrapText="1"/>
    </xf>
    <xf numFmtId="0" fontId="0" fillId="0" borderId="4" xfId="0" applyNumberFormat="1" applyFont="1" applyBorder="1" applyAlignment="1">
      <alignment horizontal="general" vertical="bottom"/>
    </xf>
    <xf numFmtId="0" fontId="0" fillId="0" borderId="3" xfId="0" applyNumberFormat="1" applyFont="1" applyBorder="1" applyAlignment="1">
      <alignment horizontal="general" vertical="bottom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bottom"/>
    </xf>
    <xf numFmtId="0" fontId="0" fillId="0" borderId="5" xfId="0" applyNumberFormat="1" applyFont="1" applyBorder="1" applyAlignment="1">
      <alignment horizontal="general" vertical="bottom"/>
    </xf>
    <xf numFmtId="0" fontId="5" fillId="0" borderId="1" xfId="0" applyNumberFormat="1" applyFont="1" applyBorder="1" applyAlignment="1">
      <alignment horizontal="general" vertical="bottom" wrapText="1"/>
    </xf>
    <xf numFmtId="0" fontId="0" fillId="0" borderId="0" xfId="0" applyNumberFormat="1" applyFont="1" applyFill="1" applyBorder="1" applyAlignment="1">
      <alignment horizontal="general" vertical="bottom" wrapText="1"/>
    </xf>
    <xf numFmtId="0" fontId="0" fillId="0" borderId="3" xfId="0" applyNumberFormat="1" applyFont="1" applyBorder="1" applyAlignment="1">
      <alignment horizontal="general" vertical="center"/>
    </xf>
    <xf numFmtId="0" fontId="5" fillId="0" borderId="1" xfId="0" applyNumberFormat="1" applyFont="1" applyFill="1" applyBorder="1" applyAlignment="1">
      <alignment horizontal="general" vertical="bottom" wrapText="1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bottom" wrapText="1"/>
    </xf>
    <xf numFmtId="0" fontId="0" fillId="2" borderId="0" xfId="0" applyNumberFormat="1" applyFont="1" applyFill="1" applyBorder="1" applyAlignment="1">
      <alignment horizontal="general" vertical="bottom"/>
    </xf>
    <xf numFmtId="0" fontId="0" fillId="2" borderId="1" xfId="0" applyNumberFormat="1" applyFont="1" applyFill="1" applyBorder="1" applyAlignment="1">
      <alignment horizontal="general" vertical="bottom" wrapText="1"/>
    </xf>
    <xf numFmtId="0" fontId="0" fillId="2" borderId="9" xfId="0" applyNumberFormat="1" applyFont="1" applyFill="1" applyBorder="1" applyAlignment="1">
      <alignment horizontal="general" vertical="bottom"/>
    </xf>
    <xf numFmtId="0" fontId="0" fillId="0" borderId="9" xfId="0" applyNumberFormat="1" applyFont="1" applyBorder="1" applyAlignment="1">
      <alignment horizontal="general" vertical="bottom"/>
    </xf>
    <xf numFmtId="17" fontId="0" fillId="0" borderId="1" xfId="0" applyNumberFormat="1" applyFont="1" applyBorder="1" applyAlignment="1">
      <alignment horizontal="general" vertical="bottom"/>
    </xf>
    <xf numFmtId="0" fontId="0" fillId="0" borderId="5" xfId="0" applyNumberFormat="1" applyFont="1" applyBorder="1" applyAlignment="1">
      <alignment horizontal="general" vertical="center"/>
    </xf>
    <xf numFmtId="0" fontId="5" fillId="0" borderId="10" xfId="0" applyNumberFormat="1" applyFont="1" applyFill="1" applyBorder="1" applyAlignment="1">
      <alignment horizontal="general" vertical="bottom" wrapText="1"/>
    </xf>
    <xf numFmtId="0" fontId="5" fillId="0" borderId="11" xfId="0" applyNumberFormat="1" applyFont="1" applyFill="1" applyBorder="1" applyAlignment="1">
      <alignment horizontal="general" vertical="bottom" wrapText="1"/>
    </xf>
    <xf numFmtId="164" fontId="5" fillId="0" borderId="8" xfId="0" applyNumberFormat="1" applyFont="1" applyFill="1" applyBorder="1" applyAlignment="1">
      <alignment horizontal="general" vertical="bottom"/>
    </xf>
    <xf numFmtId="0" fontId="19" fillId="0" borderId="0" xfId="0" applyNumberFormat="1" applyFont="1" applyBorder="1" applyAlignment="1">
      <alignment horizontal="general" vertical="bottom"/>
    </xf>
    <xf numFmtId="0" fontId="20" fillId="0" borderId="0" xfId="0" applyNumberFormat="1" applyFont="1" applyBorder="1" applyAlignment="1">
      <alignment horizontal="general" vertical="bottom"/>
    </xf>
    <xf numFmtId="43" fontId="0" fillId="0" borderId="0" xfId="0" applyNumberFormat="1" applyFont="1" applyBorder="1" applyAlignment="1">
      <alignment horizontal="general" vertical="bottom"/>
    </xf>
    <xf numFmtId="0" fontId="5" fillId="0" borderId="0" xfId="0" applyNumberFormat="1" applyFont="1" applyFill="1" applyBorder="1" applyAlignment="1">
      <alignment horizontal="general" vertical="bottom" wrapText="1"/>
    </xf>
    <xf numFmtId="169" fontId="0" fillId="0" borderId="0" xfId="0" applyNumberFormat="1" applyFont="1" applyBorder="1" applyAlignment="1">
      <alignment horizontal="general" vertical="bottom"/>
    </xf>
    <xf numFmtId="0" fontId="0" fillId="0" borderId="11" xfId="0" applyNumberFormat="1" applyFont="1" applyFill="1" applyBorder="1" applyAlignment="1">
      <alignment horizontal="general" vertical="bottom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43" fontId="0" fillId="0" borderId="0" xfId="0" applyNumberFormat="1" applyFont="1" applyBorder="1" applyAlignment="1">
      <alignment horizontal="center" vertical="bottom"/>
    </xf>
    <xf numFmtId="0" fontId="16" fillId="0" borderId="1" xfId="0" applyNumberFormat="1" applyFont="1" applyBorder="1" applyAlignment="1">
      <alignment horizontal="general" vertical="bottom"/>
    </xf>
    <xf numFmtId="0" fontId="16" fillId="0" borderId="1" xfId="0" applyNumberFormat="1" applyFont="1" applyBorder="1" applyAlignment="1">
      <alignment horizontal="general" vertical="bottom" wrapText="1"/>
    </xf>
    <xf numFmtId="164" fontId="16" fillId="0" borderId="1" xfId="0" applyNumberFormat="1" applyFont="1" applyBorder="1" applyAlignment="1">
      <alignment horizontal="general" vertical="bottom"/>
    </xf>
    <xf numFmtId="0" fontId="5" fillId="0" borderId="4" xfId="0" applyNumberFormat="1" applyFont="1" applyBorder="1" applyAlignment="1">
      <alignment horizontal="general" vertical="bottom"/>
    </xf>
    <xf numFmtId="0" fontId="0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general" vertical="bottom" wrapText="1"/>
    </xf>
    <xf numFmtId="0" fontId="21" fillId="0" borderId="0" xfId="0" applyNumberFormat="1" applyFont="1" applyBorder="1" applyAlignment="1">
      <alignment horizontal="general" vertical="bottom"/>
    </xf>
    <xf numFmtId="0" fontId="0" fillId="0" borderId="12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 wrapText="1"/>
    </xf>
    <xf numFmtId="0" fontId="0" fillId="0" borderId="15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top"/>
    </xf>
    <xf numFmtId="0" fontId="0" fillId="0" borderId="16" xfId="0" applyNumberFormat="1" applyFont="1" applyBorder="1" applyAlignment="1">
      <alignment horizontal="left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general" vertical="bottom"/>
    </xf>
    <xf numFmtId="0" fontId="0" fillId="0" borderId="14" xfId="0" applyNumberFormat="1" applyFont="1" applyBorder="1" applyAlignment="1">
      <alignment horizontal="general" vertical="bottom"/>
    </xf>
    <xf numFmtId="0" fontId="0" fillId="0" borderId="15" xfId="0" applyNumberFormat="1" applyFont="1" applyBorder="1" applyAlignment="1">
      <alignment horizontal="general" vertical="bottom"/>
    </xf>
    <xf numFmtId="0" fontId="6" fillId="0" borderId="12" xfId="0" applyNumberFormat="1" applyFont="1" applyBorder="1" applyAlignment="1">
      <alignment horizontal="center" vertical="top"/>
    </xf>
    <xf numFmtId="0" fontId="6" fillId="0" borderId="13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0" fillId="0" borderId="16" xfId="0" applyNumberFormat="1" applyFont="1" applyBorder="1" applyAlignment="1">
      <alignment horizontal="left" vertical="top" wrapText="1"/>
    </xf>
    <xf numFmtId="0" fontId="0" fillId="0" borderId="14" xfId="0" applyNumberFormat="1" applyFont="1" applyBorder="1" applyAlignment="1">
      <alignment horizontal="left" vertical="top" wrapText="1"/>
    </xf>
    <xf numFmtId="0" fontId="0" fillId="0" borderId="15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center"/>
    </xf>
    <xf numFmtId="0" fontId="0" fillId="0" borderId="16" xfId="0" applyNumberFormat="1" applyFont="1" applyBorder="1" applyAlignment="1">
      <alignment horizontal="left" vertical="center"/>
    </xf>
    <xf numFmtId="0" fontId="0" fillId="0" borderId="17" xfId="0" applyNumberFormat="1" applyFont="1" applyBorder="1" applyAlignment="1">
      <alignment horizontal="lef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5" xfId="0" applyNumberFormat="1" applyFont="1" applyBorder="1" applyAlignment="1">
      <alignment horizontal="left" vertical="center"/>
    </xf>
    <xf numFmtId="0" fontId="0" fillId="0" borderId="14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5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left" vertical="top"/>
    </xf>
    <xf numFmtId="0" fontId="6" fillId="0" borderId="19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right" vertical="bottom"/>
    </xf>
    <xf numFmtId="0" fontId="9" fillId="0" borderId="20" xfId="0" applyNumberFormat="1" applyFont="1" applyBorder="1" applyAlignment="1">
      <alignment horizontal="center" vertical="bottom"/>
    </xf>
    <xf numFmtId="0" fontId="9" fillId="0" borderId="21" xfId="0" applyNumberFormat="1" applyFont="1" applyBorder="1" applyAlignment="1">
      <alignment horizontal="center" vertical="bottom"/>
    </xf>
    <xf numFmtId="0" fontId="9" fillId="0" borderId="22" xfId="0" applyNumberFormat="1" applyFont="1" applyBorder="1" applyAlignment="1">
      <alignment horizontal="center" vertical="bottom"/>
    </xf>
    <xf numFmtId="166" fontId="0" fillId="0" borderId="0" xfId="0" applyNumberFormat="1" applyFont="1" applyBorder="1" applyAlignment="1">
      <alignment horizontal="left" vertical="bottom"/>
    </xf>
    <xf numFmtId="0" fontId="0" fillId="0" borderId="3" xfId="0" applyNumberFormat="1" applyFont="1" applyBorder="1" applyAlignment="1">
      <alignment horizontal="left" vertical="bottom"/>
    </xf>
    <xf numFmtId="0" fontId="0" fillId="0" borderId="5" xfId="0" applyNumberFormat="1" applyFont="1" applyBorder="1" applyAlignment="1">
      <alignment horizontal="left" vertical="bottom"/>
    </xf>
    <xf numFmtId="0" fontId="0" fillId="0" borderId="4" xfId="0" applyNumberFormat="1" applyFont="1" applyBorder="1" applyAlignment="1">
      <alignment horizontal="left" vertical="bottom"/>
    </xf>
    <xf numFmtId="164" fontId="0" fillId="0" borderId="3" xfId="0" applyNumberFormat="1" applyFont="1" applyBorder="1" applyAlignment="1">
      <alignment horizontal="left" vertical="bottom"/>
    </xf>
    <xf numFmtId="164" fontId="0" fillId="0" borderId="5" xfId="0" applyNumberFormat="1" applyFont="1" applyBorder="1" applyAlignment="1">
      <alignment horizontal="left" vertical="bottom"/>
    </xf>
    <xf numFmtId="164" fontId="0" fillId="0" borderId="4" xfId="0" applyNumberFormat="1" applyFont="1" applyBorder="1" applyAlignment="1">
      <alignment horizontal="left" vertical="bottom"/>
    </xf>
    <xf numFmtId="0" fontId="0" fillId="0" borderId="0" xfId="0" applyNumberFormat="1" applyFont="1" applyBorder="1" applyAlignment="1">
      <alignment horizontal="general" vertical="top" wrapText="1"/>
    </xf>
    <xf numFmtId="14" fontId="0" fillId="0" borderId="3" xfId="0" applyNumberFormat="1" applyFont="1" applyBorder="1" applyAlignment="1">
      <alignment horizontal="left" vertical="bottom"/>
    </xf>
    <xf numFmtId="14" fontId="0" fillId="0" borderId="5" xfId="0" applyNumberFormat="1" applyFont="1" applyBorder="1" applyAlignment="1">
      <alignment horizontal="left" vertical="bottom"/>
    </xf>
    <xf numFmtId="14" fontId="0" fillId="0" borderId="4" xfId="0" applyNumberFormat="1" applyFont="1" applyBorder="1" applyAlignment="1">
      <alignment horizontal="left" vertical="bottom"/>
    </xf>
    <xf numFmtId="0" fontId="0" fillId="0" borderId="1" xfId="0" applyNumberFormat="1" applyFont="1" applyBorder="1" applyAlignment="1">
      <alignment horizontal="left" vertical="bottom"/>
    </xf>
    <xf numFmtId="0" fontId="22" fillId="0" borderId="0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bottom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center" vertical="bottom" wrapText="1"/>
    </xf>
    <xf numFmtId="0" fontId="5" fillId="0" borderId="4" xfId="0" applyNumberFormat="1" applyFont="1" applyBorder="1" applyAlignment="1">
      <alignment horizontal="center" vertical="bottom" wrapText="1"/>
    </xf>
    <xf numFmtId="0" fontId="0" fillId="0" borderId="4" xfId="0" applyNumberFormat="1" applyFont="1" applyBorder="1" applyAlignment="1">
      <alignment horizontal="center" vertical="bottom"/>
    </xf>
    <xf numFmtId="0" fontId="5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center" vertical="bottom"/>
    </xf>
    <xf numFmtId="0" fontId="0" fillId="0" borderId="5" xfId="0" applyNumberFormat="1" applyFont="1" applyBorder="1" applyAlignment="1">
      <alignment horizontal="center" vertical="bottom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bottom"/>
    </xf>
    <xf numFmtId="4" fontId="0" fillId="0" borderId="4" xfId="0" applyNumberFormat="1" applyFont="1" applyBorder="1" applyAlignment="1">
      <alignment horizontal="center" vertical="bottom"/>
    </xf>
    <xf numFmtId="0" fontId="23" fillId="0" borderId="23" xfId="0" applyNumberFormat="1" applyFont="1" applyBorder="1" applyAlignment="1">
      <alignment horizontal="center" vertical="bottom" wrapText="1"/>
    </xf>
    <xf numFmtId="4" fontId="0" fillId="0" borderId="5" xfId="0" applyNumberFormat="1" applyFont="1" applyBorder="1" applyAlignment="1">
      <alignment horizontal="center" vertical="bottom"/>
    </xf>
    <xf numFmtId="4" fontId="0" fillId="0" borderId="1" xfId="0" applyNumberFormat="1" applyFont="1" applyBorder="1" applyAlignment="1">
      <alignment horizontal="center" vertical="bottom"/>
    </xf>
    <xf numFmtId="0" fontId="0" fillId="0" borderId="11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bottom"/>
    </xf>
    <xf numFmtId="43" fontId="0" fillId="0" borderId="4" xfId="0" applyNumberFormat="1" applyFont="1" applyBorder="1" applyAlignment="1">
      <alignment horizontal="center" vertical="bottom"/>
    </xf>
    <xf numFmtId="43" fontId="0" fillId="0" borderId="5" xfId="0" applyNumberFormat="1" applyFont="1" applyBorder="1" applyAlignment="1">
      <alignment horizontal="center" vertical="bottom"/>
    </xf>
    <xf numFmtId="0" fontId="0" fillId="2" borderId="1" xfId="0" applyNumberFormat="1" applyFont="1" applyFill="1" applyBorder="1" applyAlignment="1">
      <alignment horizontal="center" vertical="bottom"/>
    </xf>
    <xf numFmtId="0" fontId="0" fillId="0" borderId="0" xfId="0" applyNumberFormat="1" applyFont="1" applyFill="1" applyBorder="1" applyAlignment="1">
      <alignment horizontal="center" vertical="bottom" wrapText="1"/>
    </xf>
    <xf numFmtId="0" fontId="0" fillId="2" borderId="11" xfId="0" applyNumberFormat="1" applyFont="1" applyFill="1" applyBorder="1" applyAlignment="1">
      <alignment horizontal="center" vertical="bottom"/>
    </xf>
    <xf numFmtId="0" fontId="0" fillId="2" borderId="9" xfId="0" applyNumberFormat="1" applyFont="1" applyFill="1" applyBorder="1" applyAlignment="1">
      <alignment horizontal="center" vertical="bottom"/>
    </xf>
    <xf numFmtId="0" fontId="0" fillId="0" borderId="9" xfId="0" applyNumberFormat="1" applyFont="1" applyBorder="1" applyAlignment="1">
      <alignment horizontal="center" vertical="bottom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bottom"/>
    </xf>
    <xf numFmtId="0" fontId="0" fillId="0" borderId="10" xfId="0" applyNumberFormat="1" applyFont="1" applyBorder="1" applyAlignment="1">
      <alignment horizontal="general" vertical="center"/>
    </xf>
    <xf numFmtId="0" fontId="0" fillId="0" borderId="11" xfId="0" applyNumberFormat="1" applyFont="1" applyBorder="1" applyAlignment="1">
      <alignment horizontal="general" vertical="center"/>
    </xf>
    <xf numFmtId="0" fontId="0" fillId="0" borderId="9" xfId="0" applyNumberFormat="1" applyFont="1" applyBorder="1" applyAlignment="1">
      <alignment horizontal="general" vertical="center"/>
    </xf>
    <xf numFmtId="0" fontId="5" fillId="0" borderId="4" xfId="0" applyNumberFormat="1" applyFont="1" applyBorder="1" applyAlignment="1">
      <alignment horizontal="center" vertical="bottom"/>
    </xf>
    <xf numFmtId="0" fontId="7" fillId="0" borderId="3" xfId="0" applyNumberFormat="1" applyFont="1" applyBorder="1" applyAlignment="1">
      <alignment horizontal="center" vertical="bottom"/>
    </xf>
    <xf numFmtId="0" fontId="7" fillId="0" borderId="4" xfId="0" applyNumberFormat="1" applyFont="1" applyBorder="1" applyAlignment="1">
      <alignment horizontal="center" vertical="bottom"/>
    </xf>
    <xf numFmtId="0" fontId="7" fillId="0" borderId="1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tableStyles defaultTableStyle="TableStyleMedium9" defaultPivotStyle="PivotStyleLight16"/>
</styleSheet>
</file>

<file path=xl/_rels/workbook.xml.rels><?xml version="1.0" encoding="UTF-8" standalone="yes"?><Relationships xmlns="http://schemas.openxmlformats.org/package/2006/relationships" ><Relationship Id="rId1" Type="http://schemas.openxmlformats.org/officeDocument/2006/relationships/styles" Target="styles.xml" /><Relationship Id="rId2" Type="http://schemas.openxmlformats.org/officeDocument/2006/relationships/sharedStrings" Target="sharedString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Relationship Id="rId9" Type="http://schemas.openxmlformats.org/officeDocument/2006/relationships/worksheet" Target="worksheets/sheet6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675633</xdr:colOff>
      <xdr:row>46</xdr:row>
      <xdr:rowOff>0</xdr:rowOff>
    </xdr:from>
    <xdr:to>
      <xdr:col>6</xdr:col>
      <xdr:colOff>155225</xdr:colOff>
      <xdr:row>47</xdr:row>
      <xdr:rowOff>19446</xdr:rowOff>
    </xdr:to>
    <xdr:sp macro="" textlink="">
      <xdr:nvSpPr>
        <xdr:cNvPr id="1" name="TextBox 1"/>
        <xdr:cNvSpPr txBox="1"/>
      </xdr:nvSpPr>
      <xdr:spPr>
        <a:xfrm>
          <a:off x="0" y="0"/>
          <a:ext cx="1905000" cy="1905000"/>
        </a:xfrm>
        <a:prstGeom prst="rect">
          <a:avLst/>
        </a:prstGeom>
      </xdr:spPr>
      <xdr:txBody>
        <a:bodyPr vertOverflow="clip" horzOverflow="clip" wrap="square" rtlCol="0" anchor="t"/>
        <a:lstStyle/>
        <a:p>
          <a:pPr lvl="0" algn="l"/>
          <a:r>
            <a:rPr sz="1100">
              <a:latin typeface="Calibri"/>
            </a:rPr>
            <a:t>&amp;amp;amp;amp;amp;lt;=&amp;amp;amp;amp;amp;gt;</a:t>
          </a:r>
          <a:endParaRPr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 ><Relationship Id="rId1" Type="http://schemas.openxmlformats.org/officeDocument/2006/relationships/drawing" Target="../drawings/drawing1.xml" /><Relationship Id="rId2" Type="http://schemas.openxmlformats.org/officeDocument/2006/relationships/hyperlink" Target="mailto:prince.raherison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9"/>
  <sheetViews>
    <sheetView showGridLines="1" workbookViewId="0" topLeftCell="A154">
      <selection activeCell="A1" sqref="A1"/>
    </sheetView>
  </sheetViews>
  <sheetFormatPr defaultRowHeight="15"/>
  <cols>
    <col min="1" max="2" width="11.85546875" style="21" customWidth="1"/>
    <col min="3" max="3" width="11.85546875" style="33" customWidth="1"/>
    <col min="4" max="4" width="11.85546875" style="21" customWidth="1"/>
    <col min="5" max="5" width="14.5703125" style="21" customWidth="1"/>
    <col min="6" max="7" width="11.85546875" style="21" customWidth="1"/>
    <col min="8" max="8" width="10.7109375" style="21" customWidth="1"/>
    <col min="9" max="12" width="11.42578125" style="21" customWidth="1"/>
  </cols>
  <sheetData>
    <row r="1" spans="1:12" ht="24.0" customHeight="1"/>
    <row r="2" spans="1:12" ht="18.75">
      <c r="A2" s="54"/>
      <c r="B2" s="199" t="s">
        <v>0</v>
      </c>
      <c r="C2" s="200"/>
      <c r="D2" s="200"/>
      <c r="E2" s="200"/>
      <c r="F2" s="201"/>
      <c r="G2" s="54"/>
    </row>
    <row r="3" spans="1:12">
      <c r="A3" s="24"/>
    </row>
    <row r="4" spans="1:12" ht="18.75">
      <c r="A4" s="33" t="s">
        <v>1</v>
      </c>
      <c r="E4" s="72" t="s">
        <v>2</v>
      </c>
      <c r="F4" s="72"/>
    </row>
    <row r="5" spans="1:12" ht="18.75">
      <c r="A5" s="33" t="s">
        <v>3</v>
      </c>
      <c r="E5" s="73"/>
      <c r="F5" s="72"/>
    </row>
    <row r="6" spans="1:12" ht="36.0">
      <c r="A6" s="33" t="s">
        <v>4</v>
      </c>
      <c r="E6" s="214" t="s">
        <v>5</v>
      </c>
      <c r="F6" s="214"/>
      <c r="G6" s="214"/>
      <c r="H6" s="214"/>
    </row>
    <row r="7" spans="1:12">
      <c r="A7" s="33" t="s">
        <v>6</v>
      </c>
    </row>
    <row r="8" spans="1:12">
      <c r="A8" s="43" t="s">
        <v>7</v>
      </c>
      <c r="E8" s="43" t="s">
        <v>8</v>
      </c>
      <c r="F8" s="151" t="s">
        <v>9</v>
      </c>
    </row>
    <row r="9" spans="1:12">
      <c r="A9" s="43" t="s">
        <v>10</v>
      </c>
      <c r="B9" s="21" t="s">
        <v>11</v>
      </c>
      <c r="E9" s="43" t="s">
        <v>12</v>
      </c>
      <c r="F9" s="21" t="s">
        <v>13</v>
      </c>
    </row>
    <row r="10" spans="1:12">
      <c r="A10" s="43" t="s">
        <v>14</v>
      </c>
      <c r="B10" s="21" t="s">
        <v>13</v>
      </c>
      <c r="E10" s="43" t="s">
        <v>15</v>
      </c>
      <c r="F10" s="21" t="s">
        <v>16</v>
      </c>
      <c r="G10" s="53" t="s">
        <v>17</v>
      </c>
    </row>
    <row r="11" spans="1:12">
      <c r="A11" s="43" t="s">
        <v>18</v>
      </c>
      <c r="B11" s="21" t="s">
        <v>19</v>
      </c>
      <c r="G11" s="53" t="s">
        <v>20</v>
      </c>
    </row>
    <row r="12" spans="1:12">
      <c r="A12" s="89" t="s">
        <v>21</v>
      </c>
      <c r="G12" s="53" t="s">
        <v>22</v>
      </c>
    </row>
    <row r="13" spans="1:12">
      <c r="A13" s="24"/>
      <c r="G13" s="53" t="s">
        <v>23</v>
      </c>
    </row>
    <row r="14" spans="1:12">
      <c r="A14" s="43" t="s">
        <v>24</v>
      </c>
      <c r="B14" s="202" t="s">
        <v>25</v>
      </c>
      <c r="C14" s="202"/>
    </row>
    <row r="15" spans="1:12">
      <c r="A15" s="34"/>
    </row>
    <row r="16" spans="1:12" ht="18.75">
      <c r="A16" s="44" t="s">
        <v>26</v>
      </c>
    </row>
    <row r="17" spans="1:12">
      <c r="A17" s="37" t="s">
        <v>27</v>
      </c>
    </row>
    <row r="18" spans="1:12" ht="16.5" customHeight="1">
      <c r="A18" s="21" t="s">
        <v>28</v>
      </c>
      <c r="B18" s="21"/>
      <c r="C18" s="46" t="s">
        <v>29</v>
      </c>
      <c r="D18" s="35" t="s">
        <v>30</v>
      </c>
      <c r="F18" s="50"/>
    </row>
    <row r="19" spans="1:12" ht="16.5" customHeight="1">
      <c r="A19" s="36" t="s">
        <v>31</v>
      </c>
      <c r="C19" s="46" t="s">
        <v>29</v>
      </c>
      <c r="D19" s="21" t="s">
        <v>32</v>
      </c>
      <c r="F19" s="50"/>
    </row>
    <row r="20" spans="1:12">
      <c r="A20" s="21" t="s">
        <v>33</v>
      </c>
      <c r="C20" s="24">
        <v>2018.0</v>
      </c>
    </row>
    <row r="21" spans="1:12">
      <c r="A21" s="24" t="s">
        <v>34</v>
      </c>
      <c r="B21" s="55"/>
    </row>
    <row r="22" spans="1:12">
      <c r="A22" s="21" t="s">
        <v>35</v>
      </c>
    </row>
    <row r="23" spans="1:12">
      <c r="A23" s="21" t="s">
        <v>36</v>
      </c>
      <c r="C23" s="35" t="s">
        <v>37</v>
      </c>
    </row>
    <row r="24" spans="1:12">
      <c r="A24" s="21" t="s">
        <v>38</v>
      </c>
      <c r="C24" s="21" t="s">
        <v>39</v>
      </c>
    </row>
    <row r="25" spans="1:12">
      <c r="A25" s="21" t="s">
        <v>40</v>
      </c>
      <c r="C25" s="33" t="s">
        <v>41</v>
      </c>
    </row>
    <row r="26" spans="1:12">
      <c r="A26" s="21" t="s">
        <v>42</v>
      </c>
      <c r="C26" s="33" t="s">
        <v>43</v>
      </c>
    </row>
    <row r="27" spans="1:12" ht="32.25" customHeight="1">
      <c r="A27" s="209" t="s">
        <v>44</v>
      </c>
      <c r="B27" s="55"/>
      <c r="C27" s="55"/>
      <c r="D27" s="218" t="s">
        <v>45</v>
      </c>
      <c r="E27" s="218"/>
      <c r="F27" s="218"/>
      <c r="G27" s="218"/>
    </row>
    <row r="28" spans="1:12">
      <c r="A28" s="35"/>
    </row>
    <row r="29" spans="1:12">
      <c r="A29" s="34"/>
    </row>
    <row r="30" spans="1:12" ht="18.75">
      <c r="A30" s="54" t="s">
        <v>46</v>
      </c>
    </row>
    <row r="31" spans="1:12">
      <c r="A31" s="24" t="s">
        <v>47</v>
      </c>
    </row>
    <row r="33" spans="1:12">
      <c r="A33" s="215"/>
      <c r="B33" s="215"/>
      <c r="C33" s="215"/>
      <c r="D33" s="113" t="s">
        <v>48</v>
      </c>
      <c r="E33" s="113"/>
      <c r="F33" s="113"/>
      <c r="G33" s="113"/>
    </row>
    <row r="34" spans="1:12" ht="60.0" customHeight="1">
      <c r="A34" s="111" t="s">
        <v>49</v>
      </c>
      <c r="B34" s="224"/>
      <c r="C34" s="221"/>
      <c r="D34" s="47" t="s">
        <v>50</v>
      </c>
      <c r="E34" s="225"/>
      <c r="F34" s="225"/>
      <c r="G34" s="48"/>
    </row>
    <row r="35" spans="1:12">
      <c r="A35" s="213" t="s">
        <v>51</v>
      </c>
      <c r="B35" s="213"/>
      <c r="C35" s="213"/>
      <c r="D35" s="203" t="s">
        <v>17</v>
      </c>
      <c r="E35" s="204"/>
      <c r="F35" s="204"/>
      <c r="G35" s="205"/>
    </row>
    <row r="36" spans="1:12">
      <c r="A36" s="213" t="s">
        <v>52</v>
      </c>
      <c r="B36" s="213"/>
      <c r="C36" s="213"/>
      <c r="D36" s="67">
        <v>30619.0</v>
      </c>
      <c r="E36" s="90" t="s">
        <v>53</v>
      </c>
      <c r="F36" s="221"/>
      <c r="G36" s="215"/>
    </row>
    <row r="37" spans="1:12">
      <c r="A37" s="213" t="s">
        <v>54</v>
      </c>
      <c r="B37" s="213"/>
      <c r="C37" s="213"/>
      <c r="D37" s="206"/>
      <c r="E37" s="207"/>
      <c r="F37" s="207"/>
      <c r="G37" s="208"/>
    </row>
    <row r="38" spans="1:12">
      <c r="A38" s="213" t="s">
        <v>55</v>
      </c>
      <c r="B38" s="213"/>
      <c r="C38" s="213"/>
      <c r="D38" s="210"/>
      <c r="E38" s="211"/>
      <c r="F38" s="211"/>
      <c r="G38" s="212"/>
    </row>
    <row r="39" spans="1:12">
      <c r="A39" s="213" t="s">
        <v>56</v>
      </c>
      <c r="B39" s="213"/>
      <c r="C39" s="213"/>
      <c r="D39" s="25"/>
      <c r="E39" s="25"/>
      <c r="F39" s="25"/>
      <c r="G39" s="25"/>
    </row>
    <row r="40" spans="1:12">
      <c r="A40" s="213" t="s">
        <v>57</v>
      </c>
      <c r="B40" s="213"/>
      <c r="C40" s="213"/>
      <c r="D40" s="210"/>
      <c r="E40" s="211"/>
      <c r="F40" s="211"/>
      <c r="G40" s="212"/>
    </row>
    <row r="41" spans="1:12">
      <c r="A41" s="213" t="s">
        <v>56</v>
      </c>
      <c r="B41" s="213"/>
      <c r="C41" s="213"/>
      <c r="D41" s="25" t="s">
        <v>58</v>
      </c>
      <c r="E41" s="25"/>
      <c r="F41" s="25"/>
      <c r="G41" s="25"/>
    </row>
    <row r="42" spans="1:12">
      <c r="A42" s="213" t="s">
        <v>59</v>
      </c>
      <c r="B42" s="213"/>
      <c r="C42" s="213"/>
      <c r="D42" s="25" t="s">
        <v>60</v>
      </c>
      <c r="E42" s="25"/>
      <c r="F42" s="25"/>
      <c r="G42" s="25"/>
    </row>
    <row r="43" spans="1:12">
      <c r="A43" s="213" t="s">
        <v>61</v>
      </c>
      <c r="B43" s="213"/>
      <c r="C43" s="213"/>
      <c r="D43" s="203" t="s">
        <v>22</v>
      </c>
      <c r="E43" s="204"/>
      <c r="F43" s="204"/>
      <c r="G43" s="205"/>
    </row>
    <row r="44" spans="1:12">
      <c r="A44" s="213" t="s">
        <v>62</v>
      </c>
      <c r="B44" s="213"/>
      <c r="C44" s="213"/>
      <c r="D44" s="25"/>
      <c r="E44" s="25"/>
      <c r="F44" s="25"/>
      <c r="G44" s="25"/>
    </row>
    <row r="45" spans="1:12">
      <c r="A45" s="213" t="s">
        <v>59</v>
      </c>
      <c r="B45" s="213"/>
      <c r="C45" s="213"/>
      <c r="D45" s="25"/>
      <c r="E45" s="25"/>
      <c r="F45" s="25"/>
      <c r="G45" s="25"/>
    </row>
    <row r="46" spans="1:12">
      <c r="A46" s="35"/>
    </row>
    <row r="47" spans="1:12" ht="18.75">
      <c r="A47" s="21" t="s">
        <v>63</v>
      </c>
      <c r="C47" s="49">
        <v>0.0</v>
      </c>
      <c r="D47" s="49" t="s">
        <v>64</v>
      </c>
      <c r="E47" s="49"/>
      <c r="F47" s="49">
        <v>0.0</v>
      </c>
      <c r="G47" s="45">
        <v>6.0</v>
      </c>
    </row>
    <row r="48" spans="1:12" ht="27.75" customHeight="1">
      <c r="A48" s="36"/>
      <c r="C48" s="21"/>
      <c r="G48" s="51" t="s">
        <v>65</v>
      </c>
    </row>
    <row r="49" spans="1:12">
      <c r="A49" s="37" t="s">
        <v>66</v>
      </c>
      <c r="C49" s="21"/>
      <c r="G49" s="51" t="s">
        <v>67</v>
      </c>
    </row>
    <row r="50" spans="1:12" ht="29.25" customHeight="1">
      <c r="A50" s="216" t="s">
        <v>68</v>
      </c>
      <c r="B50" s="217"/>
      <c r="C50" s="216" t="s">
        <v>69</v>
      </c>
      <c r="D50" s="217"/>
      <c r="E50" s="216" t="s">
        <v>70</v>
      </c>
      <c r="F50" s="217"/>
      <c r="G50" s="51" t="s">
        <v>71</v>
      </c>
    </row>
    <row r="51" spans="1:12" ht="18.75" customHeight="1">
      <c r="A51" s="47" t="s">
        <v>72</v>
      </c>
      <c r="B51" s="48"/>
      <c r="C51" s="47" t="s">
        <v>73</v>
      </c>
      <c r="D51" s="48"/>
      <c r="E51" s="47" t="s">
        <v>74</v>
      </c>
      <c r="F51" s="48"/>
      <c r="G51" s="52" t="s">
        <v>74</v>
      </c>
    </row>
    <row r="52" spans="1:12">
      <c r="C52" s="21"/>
    </row>
    <row r="53" spans="1:12">
      <c r="C53" s="21"/>
    </row>
    <row r="54" spans="1:12">
      <c r="A54" s="24" t="s">
        <v>75</v>
      </c>
      <c r="C54" s="21"/>
    </row>
    <row r="55" spans="1:12" s="24" customFormat="1">
      <c r="A55" s="26" t="s">
        <v>76</v>
      </c>
      <c r="B55" s="26"/>
      <c r="C55" s="29">
        <v>14.0</v>
      </c>
      <c r="I55" s="24"/>
      <c r="J55" s="24"/>
      <c r="K55" s="24"/>
      <c r="L55" s="24"/>
    </row>
    <row r="56" spans="1:12">
      <c r="A56" s="25" t="s">
        <v>77</v>
      </c>
      <c r="B56" s="25"/>
      <c r="C56" s="27">
        <v>14.0</v>
      </c>
    </row>
    <row r="57" spans="1:12">
      <c r="A57" s="25" t="s">
        <v>78</v>
      </c>
      <c r="B57" s="25"/>
      <c r="C57" s="27"/>
    </row>
    <row r="58" spans="1:12">
      <c r="A58" s="25" t="s">
        <v>79</v>
      </c>
      <c r="B58" s="25"/>
      <c r="C58" s="27"/>
    </row>
    <row r="59" spans="1:12">
      <c r="C59" s="21"/>
    </row>
    <row r="60" spans="1:12">
      <c r="C60" s="21"/>
    </row>
    <row r="61" spans="1:12">
      <c r="A61" s="24" t="s">
        <v>80</v>
      </c>
      <c r="C61" s="21"/>
    </row>
    <row r="62" spans="1:12">
      <c r="C62" s="21"/>
    </row>
    <row r="63" spans="1:12">
      <c r="C63" s="21"/>
    </row>
    <row r="64" spans="1:12">
      <c r="C64" s="21"/>
    </row>
    <row r="65" spans="1:12">
      <c r="A65" s="24" t="s">
        <v>81</v>
      </c>
      <c r="C65" s="21"/>
    </row>
    <row r="66" spans="1:12">
      <c r="C66" s="21"/>
    </row>
    <row r="67" spans="1:12">
      <c r="C67" s="21"/>
    </row>
    <row r="68" spans="1:12">
      <c r="C68" s="21"/>
    </row>
    <row r="69" spans="1:12">
      <c r="C69" s="21"/>
    </row>
    <row r="70" spans="1:12">
      <c r="C70" s="21"/>
    </row>
    <row r="71" spans="1:12">
      <c r="C71" s="21"/>
    </row>
    <row r="72" spans="1:12">
      <c r="C72" s="21"/>
    </row>
    <row r="73" spans="1:12">
      <c r="C73" s="21"/>
    </row>
    <row r="74" spans="1:12">
      <c r="C74" s="21"/>
    </row>
    <row r="75" spans="1:12">
      <c r="C75" s="21"/>
    </row>
    <row r="76" spans="1:12">
      <c r="C76" s="21"/>
    </row>
    <row r="77" spans="1:12">
      <c r="C77" s="21"/>
    </row>
    <row r="78" spans="1:12">
      <c r="C78" s="21"/>
    </row>
    <row r="79" spans="1:12">
      <c r="C79" s="21"/>
    </row>
    <row r="80" spans="1:12" ht="18.75">
      <c r="A80" s="54" t="s">
        <v>82</v>
      </c>
      <c r="C80" s="21"/>
    </row>
    <row r="81" spans="1:12" ht="105.0">
      <c r="A81" s="87" t="s">
        <v>83</v>
      </c>
      <c r="B81" s="219" t="s">
        <v>84</v>
      </c>
      <c r="C81" s="220"/>
      <c r="D81" s="219" t="s">
        <v>85</v>
      </c>
      <c r="E81" s="220"/>
      <c r="F81" s="219" t="s">
        <v>86</v>
      </c>
      <c r="G81" s="220"/>
      <c r="H81" s="26" t="s">
        <v>87</v>
      </c>
      <c r="I81" s="119" t="s">
        <v>88</v>
      </c>
      <c r="J81" s="119" t="s">
        <v>89</v>
      </c>
      <c r="K81" s="119" t="s">
        <v>90</v>
      </c>
      <c r="L81" s="119" t="s">
        <v>91</v>
      </c>
    </row>
    <row r="82" spans="1:12" ht="30.0">
      <c r="A82" s="192" t="s">
        <v>92</v>
      </c>
      <c r="B82" s="47" t="s">
        <v>93</v>
      </c>
      <c r="C82" s="48"/>
      <c r="D82" s="47" t="s">
        <v>94</v>
      </c>
      <c r="E82" s="48"/>
      <c r="F82" s="47" t="s">
        <v>95</v>
      </c>
      <c r="G82" s="48"/>
      <c r="H82" s="106" t="s">
        <v>96</v>
      </c>
      <c r="I82" s="25" t="s">
        <v>97</v>
      </c>
      <c r="J82" s="106" t="s">
        <v>98</v>
      </c>
      <c r="K82" s="25" t="s">
        <v>99</v>
      </c>
      <c r="L82" s="25" t="s">
        <v>100</v>
      </c>
    </row>
    <row r="83" spans="1:12" ht="60.0">
      <c r="A83" s="194"/>
      <c r="B83" s="47" t="s">
        <v>101</v>
      </c>
      <c r="C83" s="48"/>
      <c r="D83" s="47" t="s">
        <v>102</v>
      </c>
      <c r="E83" s="48"/>
      <c r="F83" s="47" t="s">
        <v>103</v>
      </c>
      <c r="G83" s="48"/>
      <c r="H83" s="106" t="s">
        <v>104</v>
      </c>
      <c r="I83" s="106" t="s">
        <v>105</v>
      </c>
      <c r="J83" s="25"/>
      <c r="K83" s="25" t="s">
        <v>106</v>
      </c>
      <c r="L83" s="106" t="s">
        <v>107</v>
      </c>
    </row>
    <row r="84" spans="1:12" ht="90.0">
      <c r="A84" s="194"/>
      <c r="B84" s="47"/>
      <c r="C84" s="48"/>
      <c r="D84" s="47"/>
      <c r="E84" s="48"/>
      <c r="F84" s="47" t="s">
        <v>108</v>
      </c>
      <c r="G84" s="48"/>
      <c r="H84" s="25" t="s">
        <v>109</v>
      </c>
      <c r="I84" s="106" t="s">
        <v>110</v>
      </c>
      <c r="J84" s="25"/>
      <c r="K84" s="106" t="s">
        <v>111</v>
      </c>
      <c r="L84" s="25" t="s">
        <v>112</v>
      </c>
    </row>
    <row r="85" spans="1:12" ht="20.25" customHeight="1">
      <c r="A85" s="193"/>
      <c r="B85" s="47"/>
      <c r="C85" s="48"/>
      <c r="D85" s="47"/>
      <c r="E85" s="48"/>
      <c r="F85" s="47" t="s">
        <v>113</v>
      </c>
      <c r="G85" s="48"/>
      <c r="H85" s="25" t="s">
        <v>114</v>
      </c>
      <c r="I85" s="25" t="s">
        <v>115</v>
      </c>
      <c r="J85" s="25"/>
      <c r="K85" s="25"/>
      <c r="L85" s="25"/>
    </row>
    <row r="86" spans="1:12">
      <c r="A86" s="21" t="s">
        <v>116</v>
      </c>
      <c r="C86" s="21"/>
    </row>
    <row r="87" spans="1:12">
      <c r="C87" s="21"/>
    </row>
    <row r="88" spans="1:12" ht="15.75" customHeight="1">
      <c r="A88" s="21" t="s">
        <v>117</v>
      </c>
      <c r="B88" s="91" t="s">
        <v>118</v>
      </c>
      <c r="C88" s="42"/>
      <c r="D88" s="91" t="s">
        <v>119</v>
      </c>
      <c r="E88" s="42"/>
      <c r="F88" s="91" t="s">
        <v>120</v>
      </c>
      <c r="G88" s="59" t="s">
        <v>29</v>
      </c>
    </row>
    <row r="89" spans="1:12" ht="11.25" customHeight="1">
      <c r="B89" s="21"/>
      <c r="C89" s="21"/>
      <c r="D89" s="21"/>
    </row>
    <row r="90" spans="1:12">
      <c r="A90" s="21" t="s">
        <v>121</v>
      </c>
      <c r="C90" s="21"/>
    </row>
    <row r="91" spans="1:12">
      <c r="B91" s="21" t="s">
        <v>122</v>
      </c>
      <c r="C91" s="21"/>
    </row>
    <row r="92" spans="1:12">
      <c r="C92" s="21"/>
    </row>
    <row r="93" spans="1:12">
      <c r="C93" s="21"/>
    </row>
    <row r="94" spans="1:12">
      <c r="A94" s="21" t="s">
        <v>123</v>
      </c>
      <c r="C94" s="21"/>
    </row>
    <row r="95" spans="1:12" ht="30.0" customHeight="1">
      <c r="A95" s="34"/>
      <c r="B95" s="47" t="s">
        <v>124</v>
      </c>
      <c r="C95" s="48"/>
      <c r="D95" s="47" t="s">
        <v>125</v>
      </c>
      <c r="E95" s="48"/>
    </row>
    <row r="96" spans="1:12">
      <c r="A96" s="34"/>
      <c r="B96" s="111" t="s">
        <v>29</v>
      </c>
      <c r="C96" s="221"/>
      <c r="D96" s="47"/>
      <c r="E96" s="48"/>
    </row>
    <row r="97" spans="1:12">
      <c r="A97" s="34"/>
      <c r="C97" s="21"/>
    </row>
    <row r="98" spans="1:12" ht="18.75" customHeight="1">
      <c r="A98" s="24"/>
      <c r="B98" s="24" t="s">
        <v>126</v>
      </c>
      <c r="D98" s="24"/>
      <c r="E98" s="24"/>
    </row>
    <row r="99" spans="1:12" ht="18.75" customHeight="1">
      <c r="A99" s="34"/>
      <c r="B99" s="24"/>
      <c r="C99" s="33" t="s">
        <v>127</v>
      </c>
      <c r="D99" s="24"/>
      <c r="E99" s="24"/>
    </row>
    <row r="100" spans="1:12" ht="18.75" customHeight="1">
      <c r="A100" s="34"/>
      <c r="B100" s="24"/>
      <c r="C100" s="33" t="s">
        <v>128</v>
      </c>
      <c r="D100" s="24"/>
      <c r="E100" s="24" t="s">
        <v>129</v>
      </c>
    </row>
    <row r="101" spans="1:12">
      <c r="A101" s="34"/>
      <c r="C101" s="21"/>
    </row>
    <row r="102" spans="1:12" ht="18.75">
      <c r="A102" s="54" t="s">
        <v>130</v>
      </c>
      <c r="B102" s="24"/>
      <c r="C102" s="24"/>
      <c r="D102" s="24"/>
    </row>
    <row r="103" spans="1:12">
      <c r="A103" s="24"/>
      <c r="B103" s="24"/>
      <c r="C103" s="24"/>
      <c r="D103" s="24"/>
    </row>
    <row r="104" spans="1:12">
      <c r="A104" s="24" t="s">
        <v>131</v>
      </c>
      <c r="B104" s="24"/>
      <c r="C104" s="24"/>
      <c r="D104" s="24"/>
    </row>
    <row r="105" spans="1:12">
      <c r="A105" s="24"/>
      <c r="B105" s="24" t="s">
        <v>116</v>
      </c>
      <c r="C105" s="24" t="s">
        <v>132</v>
      </c>
      <c r="D105" s="24"/>
    </row>
    <row r="106" spans="1:12">
      <c r="A106" s="24"/>
      <c r="B106" s="24"/>
      <c r="C106" s="24"/>
      <c r="D106" s="24"/>
    </row>
    <row r="107" spans="1:12">
      <c r="A107" s="24"/>
      <c r="B107" s="24" t="s">
        <v>133</v>
      </c>
      <c r="C107" s="24" t="s">
        <v>134</v>
      </c>
      <c r="D107" s="24"/>
    </row>
    <row r="108" spans="1:12">
      <c r="A108" s="24"/>
      <c r="B108" s="24"/>
      <c r="C108" s="24"/>
      <c r="D108" s="24"/>
    </row>
    <row r="109" spans="1:12">
      <c r="A109" s="24"/>
      <c r="B109" s="24" t="s">
        <v>135</v>
      </c>
      <c r="C109" s="24"/>
      <c r="E109" s="24" t="s">
        <v>136</v>
      </c>
      <c r="J109" s="21">
        <f>1200*5</f>
        <v>6000.0</v>
      </c>
    </row>
    <row r="110" spans="1:12">
      <c r="A110" s="24"/>
      <c r="B110" s="24"/>
      <c r="C110" s="24"/>
      <c r="D110" s="24"/>
    </row>
    <row r="111" spans="1:12">
      <c r="A111" s="24"/>
      <c r="B111" s="33" t="s">
        <v>137</v>
      </c>
      <c r="C111" s="24"/>
      <c r="D111" s="24"/>
      <c r="E111" s="21" t="s">
        <v>138</v>
      </c>
    </row>
    <row r="112" spans="1:12">
      <c r="A112" s="24"/>
      <c r="B112" s="24"/>
      <c r="C112" s="24"/>
      <c r="D112" s="24"/>
    </row>
    <row r="113" spans="1:12">
      <c r="A113" s="66" t="s">
        <v>139</v>
      </c>
      <c r="B113" s="66" t="s">
        <v>140</v>
      </c>
      <c r="C113" s="109" t="s">
        <v>141</v>
      </c>
      <c r="D113" s="226"/>
      <c r="E113" s="66" t="s">
        <v>139</v>
      </c>
      <c r="F113" s="66" t="s">
        <v>140</v>
      </c>
      <c r="G113" s="109" t="s">
        <v>141</v>
      </c>
      <c r="H113" s="226"/>
    </row>
    <row r="114" spans="1:12" ht="45.0" customHeight="1">
      <c r="A114" s="189" t="s">
        <v>142</v>
      </c>
      <c r="B114" s="66" t="s">
        <v>86</v>
      </c>
      <c r="C114" s="82"/>
      <c r="D114" s="66"/>
      <c r="E114" s="192" t="s">
        <v>143</v>
      </c>
      <c r="F114" s="66" t="s">
        <v>144</v>
      </c>
      <c r="G114" s="62"/>
      <c r="H114" s="62"/>
    </row>
    <row r="115" spans="1:12">
      <c r="A115" s="190"/>
      <c r="B115" s="66" t="s">
        <v>145</v>
      </c>
      <c r="C115" s="82"/>
      <c r="D115" s="66"/>
      <c r="E115" s="193"/>
      <c r="F115" s="66" t="s">
        <v>146</v>
      </c>
      <c r="G115" s="62"/>
      <c r="H115" s="62"/>
    </row>
    <row r="116" spans="1:12" ht="45.0" customHeight="1">
      <c r="A116" s="190"/>
      <c r="B116" s="66" t="s">
        <v>147</v>
      </c>
      <c r="C116" s="82"/>
      <c r="D116" s="66"/>
      <c r="E116" s="192" t="s">
        <v>148</v>
      </c>
      <c r="F116" s="66" t="s">
        <v>86</v>
      </c>
      <c r="G116" s="62"/>
      <c r="H116" s="62"/>
    </row>
    <row r="117" spans="1:12" ht="45.0">
      <c r="A117" s="191"/>
      <c r="B117" s="112" t="s">
        <v>149</v>
      </c>
      <c r="C117" s="82"/>
      <c r="D117" s="66"/>
      <c r="E117" s="194"/>
      <c r="F117" s="66" t="s">
        <v>147</v>
      </c>
      <c r="G117" s="62"/>
      <c r="H117" s="62"/>
    </row>
    <row r="118" spans="1:12">
      <c r="A118" s="189" t="s">
        <v>150</v>
      </c>
      <c r="B118" s="66" t="s">
        <v>86</v>
      </c>
      <c r="C118" s="82"/>
      <c r="D118" s="66"/>
      <c r="E118" s="193"/>
      <c r="F118" s="66" t="s">
        <v>145</v>
      </c>
      <c r="G118" s="62"/>
      <c r="H118" s="62"/>
    </row>
    <row r="119" spans="1:12">
      <c r="A119" s="190"/>
      <c r="B119" s="66" t="s">
        <v>145</v>
      </c>
      <c r="C119" s="82"/>
      <c r="D119" s="66"/>
      <c r="E119" s="66"/>
      <c r="F119" s="66"/>
      <c r="G119" s="62"/>
      <c r="H119" s="62"/>
    </row>
    <row r="120" spans="1:12">
      <c r="A120" s="190"/>
      <c r="B120" s="66" t="s">
        <v>147</v>
      </c>
      <c r="C120" s="82"/>
      <c r="D120" s="66"/>
      <c r="E120" s="66"/>
      <c r="F120" s="66"/>
      <c r="G120" s="62"/>
      <c r="H120" s="62"/>
    </row>
    <row r="121" spans="1:12" ht="45.0">
      <c r="A121" s="191"/>
      <c r="B121" s="112" t="s">
        <v>149</v>
      </c>
      <c r="C121" s="25"/>
      <c r="D121" s="25"/>
      <c r="E121" s="25"/>
      <c r="F121" s="25"/>
      <c r="G121" s="25"/>
      <c r="H121" s="25"/>
    </row>
    <row r="122" spans="1:12">
      <c r="A122" s="24" t="s">
        <v>151</v>
      </c>
      <c r="C122" s="21"/>
    </row>
    <row r="123" spans="1:12" ht="21.75" customHeight="1">
      <c r="A123" s="40" t="s">
        <v>152</v>
      </c>
      <c r="B123" s="21" t="s">
        <v>153</v>
      </c>
      <c r="C123" s="21"/>
    </row>
    <row r="124" spans="1:12" ht="21.75" customHeight="1">
      <c r="A124" s="40" t="s">
        <v>152</v>
      </c>
      <c r="B124" s="21" t="s">
        <v>154</v>
      </c>
      <c r="C124" s="21"/>
    </row>
    <row r="125" spans="1:12" ht="21.75" customHeight="1">
      <c r="A125" s="40" t="s">
        <v>152</v>
      </c>
      <c r="B125" s="21" t="s">
        <v>155</v>
      </c>
      <c r="C125" s="21"/>
    </row>
    <row r="126" spans="1:12">
      <c r="A126" s="37"/>
      <c r="C126" s="21"/>
    </row>
    <row r="127" spans="1:12">
      <c r="A127" s="24" t="s">
        <v>156</v>
      </c>
      <c r="C127" s="21"/>
    </row>
    <row r="128" spans="1:12">
      <c r="A128" s="24" t="s">
        <v>157</v>
      </c>
      <c r="C128" s="21"/>
    </row>
    <row r="129" spans="1:12">
      <c r="A129" s="185"/>
      <c r="B129" s="186"/>
      <c r="C129" s="104" t="s">
        <v>158</v>
      </c>
      <c r="D129" s="197" t="s">
        <v>159</v>
      </c>
      <c r="E129" s="197"/>
    </row>
    <row r="130" spans="1:12">
      <c r="A130" s="187"/>
      <c r="B130" s="188"/>
      <c r="C130" s="104"/>
      <c r="D130" s="39" t="s">
        <v>160</v>
      </c>
      <c r="E130" s="39" t="s">
        <v>161</v>
      </c>
    </row>
    <row r="131" spans="1:12" ht="29.25" customHeight="1">
      <c r="A131" s="183" t="s">
        <v>162</v>
      </c>
      <c r="B131" s="184"/>
      <c r="C131" s="92" t="s">
        <v>163</v>
      </c>
      <c r="D131" s="38" t="s">
        <v>164</v>
      </c>
      <c r="E131" s="38"/>
    </row>
    <row r="132" spans="1:12" ht="29.25" customHeight="1">
      <c r="A132" s="183" t="s">
        <v>165</v>
      </c>
      <c r="B132" s="184"/>
      <c r="C132" s="92"/>
      <c r="D132" s="38"/>
      <c r="E132" s="38"/>
    </row>
    <row r="133" spans="1:12" ht="29.25" customHeight="1">
      <c r="A133" s="183" t="s">
        <v>166</v>
      </c>
      <c r="B133" s="184"/>
      <c r="C133" s="38" t="s">
        <v>163</v>
      </c>
      <c r="D133" s="38" t="s">
        <v>164</v>
      </c>
      <c r="E133" s="38"/>
    </row>
    <row r="134" spans="1:12" ht="29.25" customHeight="1">
      <c r="A134" s="183" t="s">
        <v>167</v>
      </c>
      <c r="B134" s="184"/>
      <c r="C134" s="38"/>
      <c r="D134" s="38"/>
      <c r="E134" s="38"/>
    </row>
    <row r="135" spans="1:12" ht="29.25" customHeight="1">
      <c r="A135" s="183" t="s">
        <v>168</v>
      </c>
      <c r="B135" s="184"/>
      <c r="C135" s="38"/>
      <c r="D135" s="38"/>
      <c r="E135" s="38"/>
    </row>
    <row r="136" spans="1:12">
      <c r="A136" s="24" t="s">
        <v>169</v>
      </c>
      <c r="C136" s="21"/>
    </row>
    <row r="137" spans="1:12" ht="18.0" customHeight="1">
      <c r="A137" s="24"/>
      <c r="B137" s="21"/>
      <c r="C137" s="21"/>
    </row>
    <row r="138" spans="1:12" ht="18.0" customHeight="1">
      <c r="A138" s="37"/>
      <c r="B138" s="21"/>
      <c r="C138" s="21"/>
    </row>
    <row r="139" spans="1:12">
      <c r="C139" s="21"/>
    </row>
    <row r="140" spans="1:12">
      <c r="A140" s="24" t="s">
        <v>170</v>
      </c>
      <c r="C140" s="21"/>
    </row>
    <row r="141" spans="1:12">
      <c r="A141" s="24"/>
      <c r="B141" s="24" t="s">
        <v>171</v>
      </c>
      <c r="C141" s="21"/>
    </row>
    <row r="142" spans="1:12">
      <c r="A142" s="37"/>
      <c r="B142" s="24" t="s">
        <v>172</v>
      </c>
      <c r="C142" s="21"/>
    </row>
    <row r="143" spans="1:12">
      <c r="A143" s="37"/>
      <c r="C143" s="21"/>
    </row>
    <row r="144" spans="1:12" ht="18.75">
      <c r="A144" s="54" t="s">
        <v>173</v>
      </c>
      <c r="C144" s="21"/>
    </row>
    <row r="145" spans="1:12" ht="18.75">
      <c r="A145" s="54"/>
      <c r="C145" s="21"/>
    </row>
    <row r="146" spans="1:12">
      <c r="A146" s="24" t="s">
        <v>174</v>
      </c>
      <c r="C146" s="21"/>
    </row>
    <row r="147" spans="1:12" ht="15.0" customHeight="1">
      <c r="A147" s="198" t="s">
        <v>175</v>
      </c>
      <c r="B147" s="198"/>
      <c r="C147" s="61" t="s">
        <v>163</v>
      </c>
      <c r="D147" s="198" t="s">
        <v>176</v>
      </c>
      <c r="E147" s="198"/>
      <c r="F147" s="61"/>
    </row>
    <row r="148" spans="1:12" ht="15.0" customHeight="1">
      <c r="A148" s="198" t="s">
        <v>177</v>
      </c>
      <c r="B148" s="198"/>
      <c r="C148" s="61" t="s">
        <v>163</v>
      </c>
      <c r="D148" s="198" t="s">
        <v>178</v>
      </c>
      <c r="E148" s="198"/>
      <c r="F148" s="60"/>
    </row>
    <row r="149" spans="1:12">
      <c r="A149" s="24"/>
      <c r="C149" s="21"/>
    </row>
    <row r="150" spans="1:12" ht="18.75">
      <c r="A150" s="24" t="s">
        <v>179</v>
      </c>
      <c r="B150" s="24" t="s">
        <v>180</v>
      </c>
      <c r="C150" s="21"/>
      <c r="E150" s="75" t="s">
        <v>163</v>
      </c>
      <c r="G150" s="222" t="s">
        <v>181</v>
      </c>
    </row>
    <row r="151" spans="1:12" ht="18.75">
      <c r="B151" s="24" t="s">
        <v>182</v>
      </c>
      <c r="C151" s="21"/>
      <c r="E151" s="83" t="s">
        <v>163</v>
      </c>
      <c r="G151" s="21"/>
    </row>
    <row r="152" spans="1:12">
      <c r="A152" s="24" t="s">
        <v>183</v>
      </c>
      <c r="B152" s="21"/>
      <c r="C152" s="21"/>
    </row>
    <row r="153" spans="1:12">
      <c r="A153" s="24"/>
      <c r="B153" s="24" t="s">
        <v>184</v>
      </c>
      <c r="C153" s="21"/>
    </row>
    <row r="154" spans="1:12">
      <c r="A154" s="24"/>
      <c r="C154" s="21"/>
    </row>
    <row r="155" spans="1:12">
      <c r="A155" s="24" t="s">
        <v>185</v>
      </c>
      <c r="C155" s="21"/>
    </row>
    <row r="156" spans="1:12">
      <c r="A156" s="24" t="s">
        <v>183</v>
      </c>
      <c r="C156" s="21"/>
    </row>
    <row r="157" spans="1:12" ht="16.5" customHeight="1">
      <c r="A157" s="21"/>
      <c r="B157" s="21" t="s">
        <v>186</v>
      </c>
      <c r="C157" s="21"/>
      <c r="F157" s="74"/>
    </row>
    <row r="158" spans="1:12" ht="16.5" customHeight="1">
      <c r="A158" s="21"/>
      <c r="B158" s="21" t="s">
        <v>187</v>
      </c>
      <c r="C158" s="21"/>
      <c r="F158" s="74" t="s">
        <v>163</v>
      </c>
    </row>
    <row r="159" spans="1:12" ht="16.5" customHeight="1">
      <c r="A159" s="21"/>
      <c r="B159" s="21" t="s">
        <v>188</v>
      </c>
      <c r="C159" s="21"/>
      <c r="F159" s="74"/>
    </row>
    <row r="160" spans="1:12" ht="16.5" customHeight="1">
      <c r="A160" s="24"/>
      <c r="B160" s="21" t="s">
        <v>189</v>
      </c>
      <c r="C160" s="21"/>
      <c r="F160" s="74"/>
    </row>
    <row r="161" spans="1:12">
      <c r="A161" s="24"/>
      <c r="B161" s="21"/>
      <c r="C161" s="21"/>
    </row>
    <row r="162" spans="1:12" ht="18.0" customHeight="1">
      <c r="A162" s="24" t="s">
        <v>157</v>
      </c>
      <c r="C162" s="21"/>
    </row>
    <row r="163" spans="1:12">
      <c r="A163" s="24"/>
      <c r="C163" s="21"/>
    </row>
    <row r="164" spans="1:12" s="41" customFormat="1" ht="18.75" customHeight="1">
      <c r="A164" s="156" t="s">
        <v>190</v>
      </c>
      <c r="B164" s="156"/>
      <c r="C164" s="156"/>
      <c r="D164" s="223" t="s">
        <v>191</v>
      </c>
      <c r="E164" s="223"/>
      <c r="I164" s="41"/>
      <c r="J164" s="41"/>
      <c r="K164" s="41"/>
      <c r="L164" s="41"/>
    </row>
    <row r="165" spans="1:12" s="41" customFormat="1" ht="18.75" customHeight="1">
      <c r="A165" s="156" t="s">
        <v>192</v>
      </c>
      <c r="B165" s="156"/>
      <c r="C165" s="156"/>
      <c r="D165" s="223" t="s">
        <v>193</v>
      </c>
      <c r="E165" s="223"/>
      <c r="I165" s="41"/>
      <c r="J165" s="41"/>
      <c r="K165" s="41"/>
      <c r="L165" s="41"/>
    </row>
    <row r="166" spans="1:12" s="41" customFormat="1" ht="18.75" customHeight="1">
      <c r="A166" s="156" t="s">
        <v>194</v>
      </c>
      <c r="B166" s="156"/>
      <c r="C166" s="156"/>
      <c r="D166" s="223" t="s">
        <v>195</v>
      </c>
      <c r="E166" s="223"/>
      <c r="I166" s="41"/>
      <c r="J166" s="41"/>
      <c r="K166" s="41"/>
      <c r="L166" s="41"/>
    </row>
    <row r="167" spans="1:12">
      <c r="A167" s="68" t="s">
        <v>196</v>
      </c>
      <c r="B167" s="118"/>
      <c r="C167" s="114"/>
      <c r="D167" s="115" t="s">
        <v>197</v>
      </c>
      <c r="E167" s="114"/>
    </row>
    <row r="168" spans="1:12">
      <c r="A168" s="24"/>
      <c r="C168" s="21"/>
    </row>
    <row r="169" spans="1:12">
      <c r="A169" s="24" t="s">
        <v>198</v>
      </c>
      <c r="C169" s="21"/>
    </row>
    <row r="170" spans="1:12">
      <c r="A170" s="24" t="s">
        <v>183</v>
      </c>
      <c r="C170" s="21"/>
    </row>
    <row r="171" spans="1:12">
      <c r="A171" s="21"/>
      <c r="B171" s="21" t="s">
        <v>162</v>
      </c>
      <c r="C171" s="21"/>
      <c r="D171" s="46" t="s">
        <v>29</v>
      </c>
    </row>
    <row r="172" spans="1:12">
      <c r="A172" s="21"/>
      <c r="B172" s="21" t="s">
        <v>165</v>
      </c>
      <c r="C172" s="21"/>
      <c r="D172" s="46"/>
    </row>
    <row r="173" spans="1:12">
      <c r="A173" s="21"/>
      <c r="B173" s="21" t="s">
        <v>166</v>
      </c>
      <c r="C173" s="21"/>
      <c r="D173" s="46" t="s">
        <v>29</v>
      </c>
    </row>
    <row r="174" spans="1:12">
      <c r="A174" s="21"/>
      <c r="B174" s="21" t="s">
        <v>167</v>
      </c>
      <c r="C174" s="21"/>
      <c r="D174" s="46"/>
    </row>
    <row r="175" spans="1:12">
      <c r="A175" s="21"/>
      <c r="B175" s="21" t="s">
        <v>199</v>
      </c>
      <c r="C175" s="21"/>
      <c r="D175" s="46"/>
    </row>
    <row r="176" spans="1:12">
      <c r="A176" s="24"/>
      <c r="C176" s="21"/>
    </row>
    <row r="177" spans="1:12">
      <c r="A177" s="24" t="s">
        <v>200</v>
      </c>
      <c r="C177" s="21"/>
    </row>
    <row r="178" spans="1:12">
      <c r="A178" s="24" t="s">
        <v>183</v>
      </c>
      <c r="C178" s="21"/>
    </row>
    <row r="179" spans="1:12">
      <c r="A179" s="25" t="s">
        <v>29</v>
      </c>
      <c r="B179" s="21" t="s">
        <v>201</v>
      </c>
      <c r="C179" s="21"/>
    </row>
    <row r="180" spans="1:12">
      <c r="A180" s="25"/>
      <c r="B180" s="21" t="s">
        <v>202</v>
      </c>
      <c r="C180" s="21"/>
    </row>
    <row r="181" spans="1:12">
      <c r="A181" s="24" t="s">
        <v>203</v>
      </c>
      <c r="C181" s="21"/>
    </row>
    <row r="182" spans="1:12">
      <c r="A182" s="24"/>
      <c r="C182" s="21"/>
    </row>
    <row r="183" spans="1:12">
      <c r="A183" s="24" t="s">
        <v>204</v>
      </c>
      <c r="C183" s="21"/>
    </row>
    <row r="184" spans="1:12" ht="15.0" customHeight="1">
      <c r="A184" s="21"/>
      <c r="B184" s="21" t="s">
        <v>205</v>
      </c>
      <c r="C184" s="21"/>
      <c r="D184" s="75" t="s">
        <v>29</v>
      </c>
    </row>
    <row r="185" spans="1:12" ht="15.0" customHeight="1">
      <c r="A185" s="21"/>
      <c r="B185" s="21" t="s">
        <v>206</v>
      </c>
      <c r="C185" s="21"/>
      <c r="D185" s="75"/>
    </row>
    <row r="186" spans="1:12" ht="15.0" customHeight="1">
      <c r="A186" s="24" t="s">
        <v>79</v>
      </c>
      <c r="B186" s="21" t="s">
        <v>207</v>
      </c>
      <c r="C186" s="21"/>
      <c r="D186" s="84"/>
    </row>
    <row r="187" spans="1:12" ht="32.25" customHeight="1">
      <c r="A187" s="37"/>
      <c r="B187" s="21" t="s">
        <v>208</v>
      </c>
      <c r="C187" s="21"/>
    </row>
    <row r="188" spans="1:12" ht="27.75" customHeight="1">
      <c r="A188" s="54" t="s">
        <v>209</v>
      </c>
      <c r="C188" s="21"/>
    </row>
    <row r="189" spans="1:12" ht="30.75" customHeight="1">
      <c r="A189" s="159"/>
      <c r="B189" s="160"/>
      <c r="C189" s="179" t="s">
        <v>210</v>
      </c>
      <c r="D189" s="180"/>
      <c r="E189" s="112" t="s">
        <v>211</v>
      </c>
      <c r="F189" s="112"/>
    </row>
    <row r="190" spans="1:12">
      <c r="A190" s="196" t="s">
        <v>212</v>
      </c>
      <c r="B190" s="165"/>
      <c r="C190" s="152"/>
      <c r="D190" s="161"/>
      <c r="E190" s="152"/>
      <c r="F190" s="153"/>
    </row>
    <row r="191" spans="1:12">
      <c r="A191" s="195" t="s">
        <v>213</v>
      </c>
      <c r="B191" s="158"/>
      <c r="C191" s="162"/>
      <c r="D191" s="163"/>
      <c r="E191" s="154"/>
      <c r="F191" s="155"/>
    </row>
    <row r="192" spans="1:12">
      <c r="A192" s="173" t="s">
        <v>214</v>
      </c>
      <c r="B192" s="174"/>
      <c r="C192" s="152"/>
      <c r="D192" s="161"/>
      <c r="E192" s="152"/>
      <c r="F192" s="153"/>
    </row>
    <row r="193" spans="1:12">
      <c r="A193" s="178"/>
      <c r="B193" s="177"/>
      <c r="C193" s="162"/>
      <c r="D193" s="163"/>
      <c r="E193" s="154"/>
      <c r="F193" s="155"/>
    </row>
    <row r="194" spans="1:12">
      <c r="A194" s="196" t="s">
        <v>215</v>
      </c>
      <c r="B194" s="165"/>
      <c r="C194" s="152"/>
      <c r="D194" s="161"/>
      <c r="E194" s="152"/>
      <c r="F194" s="153"/>
    </row>
    <row r="195" spans="1:12" ht="30.75" customHeight="1">
      <c r="A195" s="175" t="s">
        <v>216</v>
      </c>
      <c r="B195" s="174"/>
      <c r="C195" s="162"/>
      <c r="D195" s="163"/>
      <c r="E195" s="154"/>
      <c r="F195" s="155"/>
    </row>
    <row r="196" spans="1:12">
      <c r="A196" s="167" t="s">
        <v>217</v>
      </c>
      <c r="B196" s="168"/>
      <c r="C196" s="152"/>
      <c r="D196" s="161"/>
      <c r="E196" s="152"/>
      <c r="F196" s="153"/>
    </row>
    <row r="197" spans="1:12" ht="30.0" customHeight="1">
      <c r="A197" s="169"/>
      <c r="B197" s="170"/>
      <c r="C197" s="162"/>
      <c r="D197" s="163"/>
      <c r="E197" s="154"/>
      <c r="F197" s="155"/>
    </row>
    <row r="198" spans="1:12">
      <c r="A198" s="164" t="s">
        <v>218</v>
      </c>
      <c r="B198" s="165"/>
      <c r="C198" s="152"/>
      <c r="D198" s="161"/>
      <c r="E198" s="152"/>
      <c r="F198" s="153"/>
    </row>
    <row r="199" spans="1:12">
      <c r="A199" s="157" t="s">
        <v>219</v>
      </c>
      <c r="B199" s="158"/>
      <c r="C199" s="162"/>
      <c r="D199" s="163"/>
      <c r="E199" s="154"/>
      <c r="F199" s="155"/>
    </row>
    <row r="200" spans="1:12">
      <c r="A200" s="173" t="s">
        <v>220</v>
      </c>
      <c r="B200" s="174"/>
      <c r="C200" s="152"/>
      <c r="D200" s="161"/>
      <c r="E200" s="152"/>
      <c r="F200" s="153"/>
    </row>
    <row r="201" spans="1:12">
      <c r="A201" s="173"/>
      <c r="B201" s="174"/>
      <c r="C201" s="162"/>
      <c r="D201" s="163"/>
      <c r="E201" s="154"/>
      <c r="F201" s="155"/>
    </row>
    <row r="202" spans="1:12">
      <c r="A202" s="175" t="s">
        <v>221</v>
      </c>
      <c r="B202" s="174"/>
      <c r="C202" s="152"/>
      <c r="D202" s="161"/>
      <c r="E202" s="152"/>
      <c r="F202" s="153"/>
    </row>
    <row r="203" spans="1:12">
      <c r="A203" s="176"/>
      <c r="B203" s="177"/>
      <c r="C203" s="162"/>
      <c r="D203" s="163"/>
      <c r="E203" s="154"/>
      <c r="F203" s="155"/>
    </row>
    <row r="204" spans="1:12">
      <c r="A204" s="164" t="s">
        <v>222</v>
      </c>
      <c r="B204" s="165"/>
      <c r="C204" s="152"/>
      <c r="D204" s="161"/>
      <c r="E204" s="152"/>
      <c r="F204" s="153"/>
    </row>
    <row r="205" spans="1:12">
      <c r="A205" s="157" t="s">
        <v>223</v>
      </c>
      <c r="B205" s="158"/>
      <c r="C205" s="162"/>
      <c r="D205" s="163"/>
      <c r="E205" s="154"/>
      <c r="F205" s="155"/>
    </row>
    <row r="206" spans="1:12">
      <c r="A206" s="173" t="s">
        <v>224</v>
      </c>
      <c r="B206" s="174"/>
      <c r="C206" s="152"/>
      <c r="D206" s="161"/>
      <c r="E206" s="152"/>
      <c r="F206" s="153"/>
    </row>
    <row r="207" spans="1:12">
      <c r="A207" s="178"/>
      <c r="B207" s="177"/>
      <c r="C207" s="162"/>
      <c r="D207" s="163"/>
      <c r="E207" s="154"/>
      <c r="F207" s="155"/>
    </row>
    <row r="208" spans="1:12">
      <c r="A208" s="37"/>
      <c r="C208" s="21"/>
    </row>
    <row r="209" spans="1:12" ht="30.0" customHeight="1">
      <c r="A209" s="159"/>
      <c r="B209" s="160"/>
      <c r="C209" s="179" t="s">
        <v>225</v>
      </c>
      <c r="D209" s="180"/>
      <c r="E209" s="179" t="s">
        <v>226</v>
      </c>
      <c r="F209" s="180"/>
    </row>
    <row r="210" spans="1:12" ht="32.25" customHeight="1">
      <c r="A210" s="156" t="s">
        <v>227</v>
      </c>
      <c r="B210" s="156"/>
      <c r="C210" s="166"/>
      <c r="D210" s="166"/>
      <c r="E210" s="171"/>
      <c r="F210" s="172"/>
    </row>
    <row r="211" spans="1:12" ht="32.25" customHeight="1">
      <c r="A211" s="156" t="s">
        <v>228</v>
      </c>
      <c r="B211" s="156"/>
      <c r="C211" s="166"/>
      <c r="D211" s="166"/>
      <c r="E211" s="181"/>
      <c r="F211" s="182"/>
    </row>
    <row r="212" spans="1:12" ht="32.25" customHeight="1">
      <c r="A212" s="156" t="s">
        <v>229</v>
      </c>
      <c r="B212" s="156"/>
      <c r="C212" s="166"/>
      <c r="D212" s="166"/>
      <c r="E212" s="171"/>
      <c r="F212" s="172"/>
    </row>
    <row r="213" spans="1:12">
      <c r="A213" s="37"/>
      <c r="C213" s="21"/>
    </row>
    <row r="214" spans="1:12">
      <c r="A214" s="24" t="s">
        <v>183</v>
      </c>
      <c r="C214" s="21"/>
    </row>
    <row r="215" spans="1:12">
      <c r="A215" s="26"/>
      <c r="B215" s="21" t="s">
        <v>230</v>
      </c>
      <c r="C215" s="21"/>
    </row>
    <row r="216" spans="1:12">
      <c r="A216" s="26"/>
      <c r="B216" s="21" t="s">
        <v>231</v>
      </c>
      <c r="C216" s="21"/>
    </row>
    <row r="217" spans="1:12">
      <c r="A217" s="26"/>
      <c r="B217" s="21" t="s">
        <v>232</v>
      </c>
      <c r="C217" s="21"/>
    </row>
    <row r="218" spans="1:12">
      <c r="A218" s="37"/>
      <c r="C218" s="21"/>
    </row>
    <row r="219" spans="1:12">
      <c r="A219" s="24" t="s">
        <v>203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29">
    <mergeCell ref="G150:G151"/>
    <mergeCell ref="A167:C167"/>
    <mergeCell ref="D167:E167"/>
    <mergeCell ref="D166:E166"/>
    <mergeCell ref="A34:C34"/>
    <mergeCell ref="D34:G34"/>
    <mergeCell ref="A135:B135"/>
    <mergeCell ref="D165:E165"/>
    <mergeCell ref="A134:B134"/>
    <mergeCell ref="A57:B57"/>
    <mergeCell ref="C113:D113"/>
    <mergeCell ref="D147:E147"/>
    <mergeCell ref="B96:C96"/>
    <mergeCell ref="A82:A85"/>
    <mergeCell ref="G113:H113"/>
    <mergeCell ref="A132:B132"/>
    <mergeCell ref="D164:E164"/>
    <mergeCell ref="A148:B148"/>
    <mergeCell ref="A133:B133"/>
    <mergeCell ref="A147:B147"/>
    <mergeCell ref="D96:E96"/>
    <mergeCell ref="B85:C85"/>
    <mergeCell ref="B82:C82"/>
    <mergeCell ref="D85:E85"/>
    <mergeCell ref="F85:G85"/>
    <mergeCell ref="D40:G40"/>
    <mergeCell ref="D41:G41"/>
    <mergeCell ref="D43:G43"/>
    <mergeCell ref="B84:C84"/>
    <mergeCell ref="D47:E47"/>
    <mergeCell ref="E50:F50"/>
    <mergeCell ref="B95:C95"/>
    <mergeCell ref="D27:G27"/>
    <mergeCell ref="A35:C35"/>
    <mergeCell ref="A36:C36"/>
    <mergeCell ref="A37:C37"/>
    <mergeCell ref="A38:C38"/>
    <mergeCell ref="F81:G81"/>
    <mergeCell ref="A55:B55"/>
    <mergeCell ref="A58:B58"/>
    <mergeCell ref="D81:E81"/>
    <mergeCell ref="C50:D50"/>
    <mergeCell ref="A42:C42"/>
    <mergeCell ref="D42:G42"/>
    <mergeCell ref="F36:G36"/>
    <mergeCell ref="A51:B51"/>
    <mergeCell ref="D45:G45"/>
    <mergeCell ref="B81:C81"/>
    <mergeCell ref="B2:F2"/>
    <mergeCell ref="B14:C14"/>
    <mergeCell ref="D33:G33"/>
    <mergeCell ref="D35:G35"/>
    <mergeCell ref="D37:G37"/>
    <mergeCell ref="B83:C83"/>
    <mergeCell ref="A27:C27"/>
    <mergeCell ref="D38:G38"/>
    <mergeCell ref="A43:C43"/>
    <mergeCell ref="A40:C40"/>
    <mergeCell ref="E6:H6"/>
    <mergeCell ref="D39:G39"/>
    <mergeCell ref="A45:C45"/>
    <mergeCell ref="E51:F51"/>
    <mergeCell ref="A33:C33"/>
    <mergeCell ref="A39:C39"/>
    <mergeCell ref="A44:C44"/>
    <mergeCell ref="D44:G44"/>
    <mergeCell ref="A41:C41"/>
    <mergeCell ref="A56:B56"/>
    <mergeCell ref="C51:D51"/>
    <mergeCell ref="A50:B50"/>
    <mergeCell ref="A192:B193"/>
    <mergeCell ref="A195:B195"/>
    <mergeCell ref="E190:F191"/>
    <mergeCell ref="D95:E95"/>
    <mergeCell ref="C129:C130"/>
    <mergeCell ref="A131:B131"/>
    <mergeCell ref="A129:B130"/>
    <mergeCell ref="A114:A117"/>
    <mergeCell ref="A118:A121"/>
    <mergeCell ref="E114:E115"/>
    <mergeCell ref="E116:E118"/>
    <mergeCell ref="C189:D189"/>
    <mergeCell ref="E189:F189"/>
    <mergeCell ref="A165:C165"/>
    <mergeCell ref="A166:C166"/>
    <mergeCell ref="A189:B189"/>
    <mergeCell ref="A191:B191"/>
    <mergeCell ref="A190:B190"/>
    <mergeCell ref="C190:D191"/>
    <mergeCell ref="E194:F195"/>
    <mergeCell ref="A194:B194"/>
    <mergeCell ref="A164:C164"/>
    <mergeCell ref="D129:E129"/>
    <mergeCell ref="D148:E148"/>
    <mergeCell ref="A196:B197"/>
    <mergeCell ref="C210:D210"/>
    <mergeCell ref="C196:D197"/>
    <mergeCell ref="E196:F197"/>
    <mergeCell ref="E192:F193"/>
    <mergeCell ref="C194:D195"/>
    <mergeCell ref="C192:D193"/>
    <mergeCell ref="E212:F212"/>
    <mergeCell ref="E200:F201"/>
    <mergeCell ref="A200:B201"/>
    <mergeCell ref="A202:B203"/>
    <mergeCell ref="A206:B207"/>
    <mergeCell ref="A204:B204"/>
    <mergeCell ref="E206:F207"/>
    <mergeCell ref="C209:D209"/>
    <mergeCell ref="E209:F209"/>
    <mergeCell ref="E202:F203"/>
    <mergeCell ref="E211:F211"/>
    <mergeCell ref="E210:F210"/>
    <mergeCell ref="C206:D207"/>
    <mergeCell ref="A211:B211"/>
    <mergeCell ref="C200:D201"/>
    <mergeCell ref="C202:D203"/>
    <mergeCell ref="C211:D211"/>
    <mergeCell ref="E204:F205"/>
    <mergeCell ref="E198:F199"/>
    <mergeCell ref="A212:B212"/>
    <mergeCell ref="A205:B205"/>
    <mergeCell ref="A209:B209"/>
    <mergeCell ref="A199:B199"/>
    <mergeCell ref="C204:D205"/>
    <mergeCell ref="A198:B198"/>
    <mergeCell ref="C212:D212"/>
    <mergeCell ref="C198:D199"/>
    <mergeCell ref="A210:B210"/>
  </mergeCells>
  <dataValidations count="4">
    <dataValidation allowBlank="1" errorStyle="stop" operator="between" showErrorMessage="1" showInputMessage="1" sqref="I71:I79" type="list">
      <formula1>$K$69:$K$84</formula1>
    </dataValidation>
    <dataValidation allowBlank="1" errorStyle="stop" operator="between" showErrorMessage="1" showInputMessage="1" sqref="D35:G35" type="list">
      <formula1>$G$10:$G$11</formula1>
    </dataValidation>
    <dataValidation allowBlank="1" errorStyle="stop" operator="between" showErrorMessage="1" showInputMessage="1" sqref="D43:G43" type="list">
      <formula1>$G$12:$G$13</formula1>
    </dataValidation>
    <dataValidation allowBlank="1" errorStyle="stop" operator="between" showErrorMessage="1" showInputMessage="1" sqref="E51:F51" type="list">
      <formula1>$G$48:$G$51</formula1>
    </dataValidation>
  </dataValidations>
  <hyperlinks>
    <hyperlink ref="F8" r:id="rId2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5"/>
  <sheetViews>
    <sheetView showGridLines="1" tabSelected="1" workbookViewId="0" topLeftCell="A1">
      <selection activeCell="A1" sqref="A1"/>
    </sheetView>
  </sheetViews>
  <sheetFormatPr defaultRowHeight="15"/>
  <cols>
    <col min="1" max="1" width="15.7109375" customWidth="1"/>
    <col min="2" max="2" width="21.85546875" customWidth="1"/>
    <col min="3" max="3" width="18.0" customWidth="1"/>
    <col min="4" max="4" width="17.7109375" customWidth="1"/>
    <col min="5" max="5" width="16.7109375" customWidth="1"/>
    <col min="6" max="6" width="19.140625" customWidth="1"/>
    <col min="7" max="7" width="17.7109375" customWidth="1"/>
    <col min="8" max="8" width="17.140625" customWidth="1"/>
    <col min="9" max="9" width="16.85546875" customWidth="1"/>
    <col min="10" max="10" width="17.85546875" customWidth="1"/>
    <col min="11" max="11" width="18.0" customWidth="1"/>
    <col min="12" max="12" width="16.0" customWidth="1"/>
    <col min="13" max="13" width="17.140625" customWidth="1"/>
    <col min="14" max="14" width="16.7109375" customWidth="1"/>
    <col min="15" max="15" width="21.140625" customWidth="1"/>
  </cols>
  <sheetData>
    <row r="1" spans="1:15">
      <c r="A1" s="24" t="s">
        <v>233</v>
      </c>
      <c r="B1" s="24"/>
      <c r="E1" s="21"/>
      <c r="F1" s="21"/>
    </row>
    <row r="2" spans="1:15">
      <c r="A2" s="21"/>
      <c r="B2" s="21"/>
      <c r="D2" s="28"/>
      <c r="E2" s="28"/>
      <c r="F2" s="28"/>
      <c r="G2" s="28"/>
      <c r="H2" s="28"/>
    </row>
    <row r="3" spans="1:15">
      <c r="A3" s="66" t="s">
        <v>234</v>
      </c>
      <c r="B3" s="112" t="s">
        <v>235</v>
      </c>
      <c r="C3" s="109" t="s">
        <v>214</v>
      </c>
      <c r="D3" s="66" t="s">
        <v>236</v>
      </c>
      <c r="E3" s="66" t="s">
        <v>237</v>
      </c>
      <c r="F3" s="86" t="s">
        <v>238</v>
      </c>
    </row>
    <row r="4" spans="1:15">
      <c r="A4" s="66" t="s">
        <v>239</v>
      </c>
      <c r="B4" s="112">
        <v>0.0</v>
      </c>
      <c r="C4" s="109">
        <v>0.0</v>
      </c>
      <c r="D4" s="78">
        <f>+B4*C4</f>
        <v>0.0</v>
      </c>
      <c r="E4" s="66">
        <v>5.0</v>
      </c>
      <c r="F4" s="78">
        <f>(D4/E4)</f>
        <v>0.0</v>
      </c>
    </row>
    <row r="5" spans="1:15" ht="75.0">
      <c r="A5" s="112" t="s">
        <v>240</v>
      </c>
      <c r="B5" s="112">
        <v>0.0</v>
      </c>
      <c r="C5" s="109">
        <v>0.0</v>
      </c>
      <c r="D5" s="78">
        <f>+B5*C5</f>
        <v>0.0</v>
      </c>
      <c r="E5" s="66">
        <v>5.0</v>
      </c>
      <c r="F5" s="78">
        <f>(D5/E5)</f>
        <v>0.0</v>
      </c>
    </row>
    <row r="6" spans="1:15" ht="30.0">
      <c r="A6" s="106" t="s">
        <v>241</v>
      </c>
      <c r="B6" s="78">
        <v>0.0</v>
      </c>
      <c r="C6" s="111">
        <v>0.0</v>
      </c>
      <c r="D6" s="78">
        <f>+B6*C6</f>
        <v>0.0</v>
      </c>
      <c r="E6" s="78">
        <v>5.0</v>
      </c>
      <c r="F6" s="78">
        <f>(D6/E6)</f>
        <v>0.0</v>
      </c>
    </row>
    <row r="7" spans="1:15" ht="75.0">
      <c r="A7" s="106" t="s">
        <v>242</v>
      </c>
      <c r="B7" s="78">
        <v>0.0</v>
      </c>
      <c r="C7" s="111">
        <v>1.0</v>
      </c>
      <c r="D7" s="78">
        <f>+B7*C7</f>
        <v>0.0</v>
      </c>
      <c r="E7" s="78">
        <v>5.0</v>
      </c>
      <c r="F7" s="78">
        <f>(D7/E7)</f>
        <v>0.0</v>
      </c>
    </row>
    <row r="8" spans="1:15" ht="90.0">
      <c r="A8" s="106" t="s">
        <v>243</v>
      </c>
      <c r="B8" s="116">
        <v>0.0</v>
      </c>
      <c r="C8" s="149">
        <v>1.0</v>
      </c>
      <c r="D8" s="78">
        <f>+B8*C8</f>
        <v>0.0</v>
      </c>
      <c r="E8" s="78">
        <v>5.0</v>
      </c>
      <c r="F8" s="78">
        <f>(D8/E8)</f>
        <v>0.0</v>
      </c>
    </row>
    <row r="9" spans="1:15" ht="60.0">
      <c r="A9" s="106" t="s">
        <v>244</v>
      </c>
      <c r="B9" s="78">
        <v>0.0</v>
      </c>
      <c r="C9" s="111">
        <v>0.0</v>
      </c>
      <c r="D9" s="78">
        <f>+B9*C9</f>
        <v>0.0</v>
      </c>
      <c r="E9" s="78">
        <v>5.0</v>
      </c>
      <c r="F9" s="78">
        <f>(D9/E9)</f>
        <v>0.0</v>
      </c>
    </row>
    <row r="10" spans="1:15" ht="30.0">
      <c r="A10" s="106" t="s">
        <v>245</v>
      </c>
      <c r="B10" s="78">
        <v>0.0</v>
      </c>
      <c r="C10" s="111">
        <v>0.0</v>
      </c>
      <c r="D10" s="78">
        <f>+B10*C10</f>
        <v>0.0</v>
      </c>
      <c r="E10" s="78">
        <v>3.0</v>
      </c>
      <c r="F10" s="78">
        <f>(D10/E10)</f>
        <v>0.0</v>
      </c>
    </row>
    <row r="11" spans="1:15" ht="45.0">
      <c r="A11" s="106" t="s">
        <v>246</v>
      </c>
      <c r="B11" s="78">
        <v>0.0</v>
      </c>
      <c r="C11" s="111">
        <v>0.0</v>
      </c>
      <c r="D11" s="78">
        <f>+B11*C11</f>
        <v>0.0</v>
      </c>
      <c r="E11" s="78">
        <v>2.0</v>
      </c>
      <c r="F11" s="78">
        <f>(D11/E11)</f>
        <v>0.0</v>
      </c>
    </row>
    <row r="12" spans="1:15" ht="45.0">
      <c r="A12" s="106" t="s">
        <v>247</v>
      </c>
      <c r="B12" s="78">
        <v>0.0</v>
      </c>
      <c r="C12" s="111">
        <v>0.0</v>
      </c>
      <c r="D12" s="78">
        <f>+B12*C12</f>
        <v>0.0</v>
      </c>
      <c r="E12" s="78">
        <v>3.0</v>
      </c>
      <c r="F12" s="78">
        <f>(D12/E12)</f>
        <v>0.0</v>
      </c>
    </row>
    <row r="13" spans="1:15" ht="60.0">
      <c r="A13" s="106" t="s">
        <v>248</v>
      </c>
      <c r="B13" s="78">
        <v>0.0</v>
      </c>
      <c r="C13" s="111">
        <v>0.0</v>
      </c>
      <c r="D13" s="78">
        <f>+B13*C13</f>
        <v>0.0</v>
      </c>
      <c r="E13" s="78">
        <v>2.0</v>
      </c>
      <c r="F13" s="78">
        <f>(D13/E13)</f>
        <v>0.0</v>
      </c>
    </row>
    <row r="14" spans="1:15" ht="45.0">
      <c r="A14" s="139" t="s">
        <v>249</v>
      </c>
      <c r="B14" s="78">
        <v>0.0</v>
      </c>
      <c r="C14" s="149">
        <v>1.0</v>
      </c>
      <c r="D14" s="78">
        <f>+B14*C14</f>
        <v>0.0</v>
      </c>
      <c r="E14" s="78">
        <v>10.0</v>
      </c>
      <c r="F14" s="78">
        <f>(D14/E14)</f>
        <v>0.0</v>
      </c>
    </row>
    <row r="15" spans="1:15" ht="105.0">
      <c r="A15" s="150" t="s">
        <v>250</v>
      </c>
      <c r="B15" s="78">
        <f>1.2E7/4000</f>
        <v>3000.0</v>
      </c>
      <c r="C15" s="149">
        <v>1.0</v>
      </c>
      <c r="D15" s="78">
        <f>+B15*C15</f>
        <v>3000.0</v>
      </c>
      <c r="E15" s="78">
        <v>10.0</v>
      </c>
      <c r="F15" s="78">
        <f>(D15/E15)</f>
        <v>300.0</v>
      </c>
    </row>
    <row r="16" spans="1:15" ht="45.0">
      <c r="A16" s="106" t="s">
        <v>251</v>
      </c>
      <c r="B16" s="78">
        <v>0.0</v>
      </c>
      <c r="C16" s="111">
        <v>1.0</v>
      </c>
      <c r="D16" s="78">
        <f>+B16*C16</f>
        <v>0.0</v>
      </c>
      <c r="E16" s="78">
        <v>10.0</v>
      </c>
      <c r="F16" s="78">
        <f>(D16/E16)</f>
        <v>0.0</v>
      </c>
    </row>
    <row r="17" spans="1:15" ht="30.0">
      <c r="A17" s="106" t="s">
        <v>252</v>
      </c>
      <c r="B17" s="78">
        <v>0.0</v>
      </c>
      <c r="C17" s="111">
        <v>1.0</v>
      </c>
      <c r="D17" s="78">
        <f>+B17*C17</f>
        <v>0.0</v>
      </c>
      <c r="E17" s="78">
        <v>10.0</v>
      </c>
      <c r="F17" s="78">
        <f>(D17/E17)</f>
        <v>0.0</v>
      </c>
    </row>
    <row r="18" spans="1:15" ht="45.0">
      <c r="A18" s="106" t="s">
        <v>253</v>
      </c>
      <c r="B18" s="78">
        <v>0.0</v>
      </c>
      <c r="C18" s="111">
        <v>1.0</v>
      </c>
      <c r="D18" s="78">
        <f>+B18*C18</f>
        <v>0.0</v>
      </c>
      <c r="E18" s="78">
        <v>10.0</v>
      </c>
      <c r="F18" s="78">
        <f>(D18/E18)</f>
        <v>0.0</v>
      </c>
    </row>
    <row r="19" spans="1:15" ht="75.0">
      <c r="A19" s="106" t="s">
        <v>254</v>
      </c>
      <c r="B19" s="78">
        <v>0.0</v>
      </c>
      <c r="C19" s="111">
        <v>1.0</v>
      </c>
      <c r="D19" s="78">
        <f>+B19*C19</f>
        <v>0.0</v>
      </c>
      <c r="E19" s="78">
        <v>10.0</v>
      </c>
      <c r="F19" s="78">
        <f>(D19/E19)</f>
        <v>0.0</v>
      </c>
    </row>
    <row r="20" spans="1:15" ht="30.0">
      <c r="A20" s="106" t="s">
        <v>255</v>
      </c>
      <c r="B20" s="78">
        <v>0.0</v>
      </c>
      <c r="C20" s="111">
        <v>1.0</v>
      </c>
      <c r="D20" s="78">
        <f>+B20*C20</f>
        <v>0.0</v>
      </c>
      <c r="E20" s="78">
        <v>5.0</v>
      </c>
      <c r="F20" s="78">
        <f>(D20/E20)</f>
        <v>0.0</v>
      </c>
    </row>
    <row r="21" spans="1:15">
      <c r="A21" s="106" t="s">
        <v>256</v>
      </c>
      <c r="B21" s="78">
        <f>2.0E7/4000</f>
        <v>5000.0</v>
      </c>
      <c r="C21" s="111">
        <v>1.0</v>
      </c>
      <c r="D21" s="78">
        <f>+B21*C21</f>
        <v>5000.0</v>
      </c>
      <c r="E21" s="78">
        <v>5.0</v>
      </c>
      <c r="F21" s="78">
        <f>(D21/E21)</f>
        <v>1000.0</v>
      </c>
    </row>
    <row r="22" spans="1:15">
      <c r="A22" s="46" t="s">
        <v>257</v>
      </c>
      <c r="B22" s="66"/>
      <c r="C22" s="110"/>
      <c r="D22" s="85">
        <f>SUM(D4:D21)</f>
        <v>8000.0</v>
      </c>
      <c r="E22" s="66"/>
      <c r="F22" s="85">
        <f>SUM(F6:F11)</f>
        <v>0.0</v>
      </c>
    </row>
    <row r="23" spans="1:15">
      <c r="D23" s="28"/>
    </row>
    <row r="24" spans="1:15">
      <c r="H24" s="28"/>
    </row>
    <row r="25" spans="1:15">
      <c r="A25" s="24" t="s">
        <v>258</v>
      </c>
      <c r="B25" s="24"/>
      <c r="I25" s="28"/>
      <c r="J25" s="28"/>
    </row>
    <row r="26" spans="1:15">
      <c r="I26" s="28"/>
      <c r="J26" s="28"/>
    </row>
    <row r="27" spans="1:15">
      <c r="A27" s="66" t="s">
        <v>234</v>
      </c>
      <c r="B27" s="46" t="s">
        <v>259</v>
      </c>
      <c r="C27" s="25" t="s">
        <v>260</v>
      </c>
      <c r="D27" s="46" t="s">
        <v>261</v>
      </c>
      <c r="E27" s="46" t="s">
        <v>262</v>
      </c>
      <c r="F27" s="46" t="s">
        <v>263</v>
      </c>
      <c r="H27" s="102"/>
      <c r="I27" s="28"/>
    </row>
    <row r="28" spans="1:15">
      <c r="A28" s="25" t="s">
        <v>264</v>
      </c>
      <c r="B28" s="27">
        <f>Autres_charges!D13</f>
        <v>129000.0</v>
      </c>
      <c r="C28" s="27">
        <f>1*Autres_charges!F13</f>
        <v>135450.0</v>
      </c>
      <c r="D28" s="27">
        <f>Autres_charges!H13</f>
        <v>142222.5</v>
      </c>
      <c r="E28" s="27">
        <f>Autres_charges!J13</f>
        <v>149333.62500000003</v>
      </c>
      <c r="F28" s="27">
        <f>1*Autres_charges!L13</f>
        <v>156800.30625000002</v>
      </c>
    </row>
    <row r="29" spans="1:15">
      <c r="A29" s="25" t="s">
        <v>265</v>
      </c>
      <c r="B29" s="27">
        <f>Autres_charges!D23</f>
        <v>8100.0</v>
      </c>
      <c r="C29" s="27">
        <f>1*Autres_charges!F23</f>
        <v>8145.0</v>
      </c>
      <c r="D29" s="27">
        <f>Autres_charges!H23</f>
        <v>8264.25</v>
      </c>
      <c r="E29" s="27">
        <f>Autres_charges!J23</f>
        <v>9041.0625</v>
      </c>
      <c r="F29" s="27">
        <f>1*Autres_charges!L23</f>
        <v>9893.075625000001</v>
      </c>
    </row>
    <row r="30" spans="1:15">
      <c r="A30" s="25" t="s">
        <v>266</v>
      </c>
      <c r="B30" s="27">
        <f>Autres_charges!D37</f>
        <v>7100.0</v>
      </c>
      <c r="C30" s="27">
        <f>1*Autres_charges!F37</f>
        <v>7440.0</v>
      </c>
      <c r="D30" s="27">
        <f>Autres_charges!H37</f>
        <v>7800.0</v>
      </c>
      <c r="E30" s="27">
        <f>Autres_charges!J37</f>
        <v>8177.88</v>
      </c>
      <c r="F30" s="27">
        <f>(1*Autres_charges!L37)</f>
        <v>8574.5328</v>
      </c>
    </row>
    <row r="31" spans="1:15">
      <c r="A31" s="46" t="s">
        <v>267</v>
      </c>
      <c r="B31" s="29">
        <f>SUM(B28:B30)</f>
        <v>144200.0</v>
      </c>
      <c r="C31" s="27">
        <f>SUM(C28:C30)</f>
        <v>151035.0</v>
      </c>
      <c r="D31" s="29">
        <f>SUM(D28:D30)</f>
        <v>158286.75</v>
      </c>
      <c r="E31" s="29">
        <f>SUM(E28:E30)</f>
        <v>166552.56750000003</v>
      </c>
      <c r="F31" s="29">
        <f>SUM(F28:F30)</f>
        <v>175267.914675</v>
      </c>
    </row>
    <row r="33" spans="1:15" ht="18.75">
      <c r="A33" s="54" t="s">
        <v>268</v>
      </c>
      <c r="B33" s="54"/>
      <c r="C33" s="54"/>
      <c r="D33" s="54"/>
      <c r="E33" s="54"/>
    </row>
    <row r="35" spans="1:15" ht="21.0">
      <c r="A35" s="145" t="s">
        <v>269</v>
      </c>
      <c r="B35" s="146" t="s">
        <v>270</v>
      </c>
      <c r="C35" s="25" t="s">
        <v>271</v>
      </c>
    </row>
    <row r="36" spans="1:15" ht="42.0">
      <c r="A36" s="146" t="s">
        <v>272</v>
      </c>
      <c r="B36" s="147">
        <f>1*D22</f>
        <v>8000.0</v>
      </c>
      <c r="C36" s="25"/>
    </row>
    <row r="37" spans="1:15" ht="42.0">
      <c r="A37" s="146" t="s">
        <v>273</v>
      </c>
      <c r="B37" s="147">
        <f>1*B31</f>
        <v>144200.0</v>
      </c>
      <c r="C37" s="25"/>
    </row>
    <row r="38" spans="1:15" ht="63.0">
      <c r="A38" s="146" t="s">
        <v>274</v>
      </c>
      <c r="B38" s="147">
        <f>SUM(B36:B37)</f>
        <v>152200.0</v>
      </c>
      <c r="C38" s="25"/>
    </row>
    <row r="40" spans="1:15" ht="33.75">
      <c r="A40" s="230" t="s">
        <v>275</v>
      </c>
      <c r="B40" s="230"/>
      <c r="C40" s="230"/>
      <c r="D40" s="230"/>
      <c r="E40" s="230"/>
      <c r="F40" s="230"/>
      <c r="G40" s="230"/>
    </row>
    <row r="41" spans="1:15">
      <c r="A41" s="26" t="s">
        <v>276</v>
      </c>
      <c r="B41" s="26">
        <v>2020.0</v>
      </c>
      <c r="C41" s="26">
        <v>2021.0</v>
      </c>
      <c r="D41" s="26">
        <v>2022.0</v>
      </c>
      <c r="E41" s="26">
        <v>2023.0</v>
      </c>
      <c r="F41" s="26">
        <v>2024.0</v>
      </c>
      <c r="G41" s="26" t="s">
        <v>267</v>
      </c>
    </row>
    <row r="42" spans="1:15">
      <c r="A42" s="26" t="s">
        <v>277</v>
      </c>
      <c r="B42" s="26">
        <f>1*'Chiffre d''affaires'!C15</f>
        <v>210000.0</v>
      </c>
      <c r="C42" s="26">
        <f>1*'Chiffre d''affaires'!D15</f>
        <v>220500.0</v>
      </c>
      <c r="D42" s="26">
        <f>1*'Chiffre d''affaires'!E15</f>
        <v>231525.0</v>
      </c>
      <c r="E42" s="26">
        <f>1*'Chiffre d''affaires'!F15</f>
        <v>243101.25</v>
      </c>
      <c r="F42" s="26">
        <f>'Chiffre d''affaires'!G15*1</f>
        <v>255256.3125</v>
      </c>
      <c r="G42" s="26">
        <f>SUM(B42:F42)</f>
        <v>1160382.5625</v>
      </c>
      <c r="I42" s="28"/>
    </row>
    <row r="43" spans="1:15">
      <c r="A43" s="26" t="s">
        <v>272</v>
      </c>
      <c r="B43" s="29">
        <f>1*Investissements_Charges!D22</f>
        <v>8000.0</v>
      </c>
      <c r="C43" s="26">
        <v>0.0</v>
      </c>
      <c r="D43" s="26">
        <v>0.0</v>
      </c>
      <c r="E43" s="26">
        <v>0.0</v>
      </c>
      <c r="F43" s="26">
        <v>0.0</v>
      </c>
      <c r="G43" s="29">
        <f>SUM(B43:F43)</f>
        <v>8000.0</v>
      </c>
    </row>
    <row r="44" spans="1:15">
      <c r="A44" s="26" t="s">
        <v>278</v>
      </c>
      <c r="B44" s="29">
        <f>1*Investissements_Charges!B31</f>
        <v>144200.0</v>
      </c>
      <c r="C44" s="29">
        <f>1*Investissements_Charges!C31</f>
        <v>151035.0</v>
      </c>
      <c r="D44" s="29">
        <f>1*Investissements_Charges!D31</f>
        <v>158286.75</v>
      </c>
      <c r="E44" s="29">
        <f>1*Investissements_Charges!E31</f>
        <v>166552.56750000003</v>
      </c>
      <c r="F44" s="29">
        <f>E44*1.05</f>
        <v>174880.19587500003</v>
      </c>
      <c r="G44" s="29">
        <f>SUM(B44:F44)</f>
        <v>794954.5133750001</v>
      </c>
      <c r="I44" s="103"/>
    </row>
    <row r="45" spans="1:15">
      <c r="A45" s="26" t="s">
        <v>279</v>
      </c>
      <c r="B45" s="29">
        <f>B43+B44</f>
        <v>152200.0</v>
      </c>
      <c r="C45" s="29">
        <f>C44*1</f>
        <v>151035.0</v>
      </c>
      <c r="D45" s="29">
        <f>D44*1</f>
        <v>158286.75</v>
      </c>
      <c r="E45" s="29">
        <f>E44*1</f>
        <v>166552.56750000003</v>
      </c>
      <c r="F45" s="29">
        <f>F44*1</f>
        <v>174880.19587500003</v>
      </c>
      <c r="G45" s="29">
        <f>+G43+G44</f>
        <v>802954.5133750001</v>
      </c>
      <c r="I45" s="103"/>
    </row>
    <row r="46" spans="1:15">
      <c r="A46" s="26" t="s">
        <v>280</v>
      </c>
      <c r="B46" s="29"/>
      <c r="C46" s="26"/>
      <c r="D46" s="26"/>
      <c r="E46" s="26"/>
      <c r="F46" s="26"/>
      <c r="G46" s="29">
        <f>G42-G45</f>
        <v>357428.0491249999</v>
      </c>
    </row>
    <row r="47" spans="1:15">
      <c r="A47" s="26" t="s">
        <v>281</v>
      </c>
      <c r="B47" s="29">
        <f>+B42-B45</f>
        <v>57800.0</v>
      </c>
      <c r="C47" s="29">
        <f>+C42-C45</f>
        <v>69465.0</v>
      </c>
      <c r="D47" s="29">
        <f>+D42-D45</f>
        <v>73238.25</v>
      </c>
      <c r="E47" s="29">
        <f>+E42-E45</f>
        <v>76548.68249999997</v>
      </c>
      <c r="F47" s="29">
        <f>+F42-F45</f>
        <v>80376.11662499997</v>
      </c>
      <c r="G47" s="29">
        <f>G46/5</f>
        <v>71485.60982499998</v>
      </c>
    </row>
    <row r="48" spans="1:15">
      <c r="A48" s="26" t="s">
        <v>282</v>
      </c>
      <c r="B48" s="29">
        <f>B47/12</f>
        <v>4816.666666666667</v>
      </c>
      <c r="C48" s="29">
        <f>C47/12</f>
        <v>5788.75</v>
      </c>
      <c r="D48" s="29">
        <f>D47/12</f>
        <v>6103.1875</v>
      </c>
      <c r="E48" s="29">
        <f>E47/12</f>
        <v>6379.0568749999975</v>
      </c>
      <c r="F48" s="29">
        <f>F47/12</f>
        <v>6698.009718749997</v>
      </c>
      <c r="G48" s="29">
        <f>G47/12</f>
        <v>5957.134152083331</v>
      </c>
    </row>
    <row r="49" spans="1:15">
      <c r="A49" s="25" t="s">
        <v>283</v>
      </c>
      <c r="B49" s="27">
        <f>B47/365</f>
        <v>158.35616438356163</v>
      </c>
      <c r="C49" s="27">
        <f>C48/30</f>
        <v>192.95833333333334</v>
      </c>
      <c r="D49" s="27">
        <f>D48/30</f>
        <v>203.43958333333333</v>
      </c>
      <c r="E49" s="27">
        <f>E48/30</f>
        <v>212.6352291666666</v>
      </c>
      <c r="F49" s="27">
        <f>F48/30</f>
        <v>223.2669906249999</v>
      </c>
      <c r="G49" s="27">
        <f>G48/30</f>
        <v>198.5711384027777</v>
      </c>
    </row>
    <row r="50" spans="1:15">
      <c r="A50" s="25"/>
      <c r="B50" s="70" t="s">
        <v>284</v>
      </c>
      <c r="C50" s="148"/>
      <c r="D50" s="70" t="s">
        <v>285</v>
      </c>
      <c r="E50" s="148"/>
      <c r="F50" s="24"/>
      <c r="G50" s="28"/>
    </row>
    <row r="51" spans="1:15" ht="33.0">
      <c r="A51" s="119" t="s">
        <v>286</v>
      </c>
      <c r="B51" s="228">
        <f>1*'Chiffre d''affaires'!C13</f>
        <v>84000.0</v>
      </c>
      <c r="C51" s="229"/>
      <c r="D51" s="228">
        <f>+B51*1</f>
        <v>84000.0</v>
      </c>
      <c r="E51" s="231"/>
      <c r="F51" s="21"/>
      <c r="G51" s="135"/>
      <c r="H51" s="135"/>
      <c r="I51" s="28"/>
      <c r="J51" s="21"/>
    </row>
    <row r="52" spans="1:15" ht="45.0">
      <c r="A52" s="122" t="s">
        <v>287</v>
      </c>
      <c r="B52" s="228">
        <f>+B43*0.4</f>
        <v>3200.0</v>
      </c>
      <c r="C52" s="229"/>
      <c r="D52" s="228">
        <v>0.0</v>
      </c>
      <c r="E52" s="231"/>
      <c r="F52" s="24"/>
      <c r="G52" s="24"/>
      <c r="H52" s="24"/>
      <c r="I52" s="24"/>
      <c r="J52" s="21"/>
    </row>
    <row r="53" spans="1:15" ht="45.0">
      <c r="A53" s="122" t="s">
        <v>288</v>
      </c>
      <c r="B53" s="228">
        <f>Investissements_Charges!B31*0.4</f>
        <v>57680.0</v>
      </c>
      <c r="C53" s="229"/>
      <c r="D53" s="228">
        <f>+B53*1</f>
        <v>57680.0</v>
      </c>
      <c r="E53" s="231"/>
      <c r="F53" s="24"/>
      <c r="G53" s="21"/>
      <c r="H53" s="24"/>
      <c r="I53" s="28"/>
      <c r="J53" s="21"/>
    </row>
    <row r="54" spans="1:15" ht="45.0">
      <c r="A54" s="131" t="s">
        <v>289</v>
      </c>
      <c r="B54" s="228">
        <f>B52+B53</f>
        <v>60880.0</v>
      </c>
      <c r="C54" s="229"/>
      <c r="D54" s="228">
        <f>+D52+D53</f>
        <v>57680.0</v>
      </c>
      <c r="E54" s="231"/>
      <c r="F54" s="24"/>
      <c r="G54" s="136"/>
      <c r="H54" s="24"/>
      <c r="I54" s="21"/>
      <c r="J54" s="21"/>
    </row>
    <row r="55" spans="1:15" ht="30.0">
      <c r="A55" s="122" t="s">
        <v>290</v>
      </c>
      <c r="B55" s="232">
        <f>+B54/B51</f>
        <v>0.7247619047619047</v>
      </c>
      <c r="C55" s="232"/>
      <c r="D55" s="228">
        <f>+D54/D51</f>
        <v>0.6866666666666666</v>
      </c>
      <c r="E55" s="231"/>
      <c r="F55" s="24"/>
      <c r="G55" s="21"/>
      <c r="H55" s="31"/>
      <c r="I55" s="21"/>
      <c r="J55" s="21"/>
    </row>
    <row r="56" spans="1:15" ht="45.0">
      <c r="A56" s="132" t="s">
        <v>291</v>
      </c>
      <c r="B56" s="232">
        <f>1*'Chiffre d''affaires'!C12</f>
        <v>10000.0</v>
      </c>
      <c r="C56" s="232"/>
      <c r="D56" s="228">
        <f>+B56*1</f>
        <v>10000.0</v>
      </c>
      <c r="E56" s="231"/>
      <c r="F56" s="24"/>
      <c r="G56" s="21"/>
      <c r="H56" s="137"/>
      <c r="I56" s="28"/>
      <c r="J56" s="21"/>
    </row>
    <row r="57" spans="1:15" ht="45.0">
      <c r="A57" s="122" t="s">
        <v>292</v>
      </c>
      <c r="B57" s="228">
        <f>+B56-B55</f>
        <v>9999.275238095239</v>
      </c>
      <c r="C57" s="229"/>
      <c r="D57" s="228">
        <f>+D56-D55</f>
        <v>9999.313333333334</v>
      </c>
      <c r="E57" s="231"/>
      <c r="F57" s="31"/>
      <c r="G57" s="21"/>
      <c r="H57" s="55"/>
      <c r="I57" s="138"/>
      <c r="J57" s="21"/>
    </row>
    <row r="58" spans="1:15" ht="45.0">
      <c r="A58" s="122" t="s">
        <v>293</v>
      </c>
      <c r="B58" s="228">
        <f>(+B57/B55)*100</f>
        <v>1379663.4691195798</v>
      </c>
      <c r="C58" s="229"/>
      <c r="D58" s="228">
        <f>D57/D55*100</f>
        <v>1456210.6796116505</v>
      </c>
      <c r="E58" s="231"/>
      <c r="F58" s="31"/>
      <c r="G58" s="21"/>
      <c r="H58" s="55"/>
      <c r="I58" s="28"/>
      <c r="J58" s="28"/>
    </row>
    <row r="59" spans="1:15">
      <c r="A59" s="137"/>
      <c r="B59" s="144"/>
      <c r="C59" s="144"/>
      <c r="D59" s="144"/>
      <c r="E59" s="144"/>
      <c r="F59" s="31"/>
      <c r="G59" s="21"/>
      <c r="H59" s="55"/>
      <c r="I59" s="28"/>
      <c r="J59" s="28"/>
    </row>
    <row r="60" spans="1:15">
      <c r="A60" s="25"/>
      <c r="B60" s="70" t="s">
        <v>284</v>
      </c>
      <c r="C60" s="148"/>
      <c r="D60" s="70" t="s">
        <v>285</v>
      </c>
      <c r="E60" s="148"/>
      <c r="F60" s="31"/>
      <c r="G60" s="21"/>
      <c r="H60" s="55"/>
      <c r="I60" s="28"/>
      <c r="J60" s="28"/>
    </row>
    <row r="61" spans="1:15">
      <c r="A61" s="119"/>
      <c r="B61" s="111">
        <f>1*'Chiffre d''affaires'!C10</f>
        <v>0.0</v>
      </c>
      <c r="C61" s="221"/>
      <c r="D61" s="111">
        <f>+B61*1</f>
        <v>0.0</v>
      </c>
      <c r="E61" s="224"/>
      <c r="F61" s="31"/>
      <c r="G61" s="21"/>
      <c r="H61" s="55"/>
      <c r="I61" s="28"/>
      <c r="J61" s="28"/>
    </row>
    <row r="62" spans="1:15" ht="45.0">
      <c r="A62" s="122" t="s">
        <v>287</v>
      </c>
      <c r="B62" s="111">
        <f>B43*0.4</f>
        <v>3200.0</v>
      </c>
      <c r="C62" s="221"/>
      <c r="D62" s="111">
        <v>0.0</v>
      </c>
      <c r="E62" s="224"/>
      <c r="F62" s="31"/>
      <c r="G62" s="21"/>
      <c r="H62" s="55"/>
      <c r="I62" s="28"/>
      <c r="J62" s="28"/>
    </row>
    <row r="63" spans="1:15" ht="45.0">
      <c r="A63" s="122" t="s">
        <v>288</v>
      </c>
      <c r="B63" s="228">
        <f>+B44*0.4</f>
        <v>57680.0</v>
      </c>
      <c r="C63" s="229"/>
      <c r="D63" s="228">
        <f>+B63*1</f>
        <v>57680.0</v>
      </c>
      <c r="E63" s="231"/>
      <c r="F63" s="31"/>
      <c r="G63" s="21"/>
      <c r="H63" s="55"/>
      <c r="I63" s="28"/>
      <c r="J63" s="28"/>
    </row>
    <row r="64" spans="1:15">
      <c r="A64" s="131"/>
      <c r="B64" s="228">
        <v>0.0</v>
      </c>
      <c r="C64" s="229"/>
      <c r="D64" s="228">
        <v>0.0</v>
      </c>
      <c r="E64" s="231"/>
      <c r="F64" s="31"/>
      <c r="G64" s="21"/>
      <c r="H64" s="55"/>
      <c r="I64" s="28"/>
      <c r="J64" s="28"/>
    </row>
    <row r="65" spans="1:15" ht="30.0">
      <c r="A65" s="122" t="s">
        <v>290</v>
      </c>
      <c r="B65" s="215" t="e">
        <f>B64/B61</f>
        <v>#DIV/0!</v>
      </c>
      <c r="C65" s="215"/>
      <c r="D65" s="111" t="e">
        <f>+D64/D61</f>
        <v>#DIV/0!</v>
      </c>
      <c r="E65" s="224"/>
      <c r="F65" s="31"/>
      <c r="G65" s="21"/>
      <c r="H65" s="55"/>
      <c r="I65" s="28"/>
      <c r="J65" s="28"/>
    </row>
    <row r="66" spans="1:15">
      <c r="A66" s="132"/>
      <c r="B66" s="215">
        <f>1*'Chiffre d''affaires'!C9</f>
        <v>0.0</v>
      </c>
      <c r="C66" s="215"/>
      <c r="D66" s="111">
        <f>+B66*1</f>
        <v>0.0</v>
      </c>
      <c r="E66" s="224"/>
      <c r="F66" s="31"/>
      <c r="G66" s="21"/>
      <c r="H66" s="55"/>
      <c r="I66" s="28"/>
      <c r="J66" s="28"/>
    </row>
    <row r="67" spans="1:15">
      <c r="A67" s="122"/>
      <c r="B67" s="234" t="e">
        <f>+B66-B65</f>
        <v>#DIV/0!</v>
      </c>
      <c r="C67" s="235"/>
      <c r="D67" s="234" t="e">
        <f>+D66-D65</f>
        <v>#DIV/0!</v>
      </c>
      <c r="E67" s="236"/>
      <c r="F67" s="31"/>
      <c r="G67" s="21"/>
      <c r="H67" s="55"/>
      <c r="I67" s="28"/>
      <c r="J67" s="28"/>
    </row>
    <row r="68" spans="1:15">
      <c r="A68" s="122"/>
      <c r="B68" s="234" t="e">
        <f>(+B67/B65)*100</f>
        <v>#DIV/0!</v>
      </c>
      <c r="C68" s="235"/>
      <c r="D68" s="234" t="e">
        <f>D67/D65*100</f>
        <v>#DIV/0!</v>
      </c>
      <c r="E68" s="236"/>
      <c r="F68" s="31"/>
      <c r="G68" s="21"/>
      <c r="H68" s="55"/>
      <c r="I68" s="28"/>
      <c r="J68" s="28"/>
    </row>
    <row r="69" spans="1:15">
      <c r="A69" s="137"/>
      <c r="B69" s="144"/>
      <c r="C69" s="144"/>
      <c r="D69" s="144"/>
      <c r="E69" s="144"/>
      <c r="F69" s="31"/>
      <c r="G69" s="21"/>
      <c r="H69" s="55"/>
      <c r="I69" s="28"/>
      <c r="J69" s="28"/>
    </row>
    <row r="70" spans="1:15" ht="26.25">
      <c r="B70" s="134" t="s">
        <v>294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2" spans="1:15">
      <c r="A72" s="123" t="s">
        <v>295</v>
      </c>
      <c r="B72" s="25" t="s">
        <v>296</v>
      </c>
      <c r="C72" s="25" t="s">
        <v>297</v>
      </c>
      <c r="D72" s="25" t="s">
        <v>298</v>
      </c>
      <c r="E72" s="25" t="s">
        <v>299</v>
      </c>
      <c r="F72" s="25" t="s">
        <v>300</v>
      </c>
      <c r="G72" s="25" t="s">
        <v>301</v>
      </c>
      <c r="H72" s="25" t="s">
        <v>302</v>
      </c>
      <c r="I72" s="25" t="s">
        <v>303</v>
      </c>
      <c r="J72" s="25" t="s">
        <v>304</v>
      </c>
      <c r="K72" s="25" t="s">
        <v>305</v>
      </c>
      <c r="L72" s="25" t="s">
        <v>306</v>
      </c>
      <c r="M72" s="25" t="s">
        <v>307</v>
      </c>
      <c r="N72" s="25" t="s">
        <v>308</v>
      </c>
      <c r="O72" s="25" t="s">
        <v>267</v>
      </c>
    </row>
    <row r="73" spans="1:15">
      <c r="A73" s="233"/>
      <c r="B73" s="25" t="s">
        <v>309</v>
      </c>
      <c r="C73" s="27">
        <f>+B43*C74/100</f>
        <v>3200.0</v>
      </c>
      <c r="D73" s="27">
        <f>D74*B43/100</f>
        <v>2400.0</v>
      </c>
      <c r="E73" s="27">
        <f>+B43*E74/100</f>
        <v>2400.0</v>
      </c>
      <c r="F73" s="25"/>
      <c r="G73" s="25"/>
      <c r="H73" s="25"/>
      <c r="I73" s="25"/>
      <c r="J73" s="25"/>
      <c r="K73" s="25"/>
      <c r="L73" s="25"/>
      <c r="M73" s="25"/>
      <c r="N73" s="25"/>
      <c r="O73" s="27">
        <f>+C73+D73+E73</f>
        <v>8000.0</v>
      </c>
    </row>
    <row r="74" spans="1:15">
      <c r="A74" s="233"/>
      <c r="B74" s="25" t="s">
        <v>310</v>
      </c>
      <c r="C74" s="25">
        <v>40.0</v>
      </c>
      <c r="D74" s="25">
        <v>30.0</v>
      </c>
      <c r="E74" s="25">
        <v>30.0</v>
      </c>
      <c r="F74" s="25"/>
      <c r="G74" s="25"/>
      <c r="H74" s="25"/>
      <c r="I74" s="25"/>
      <c r="J74" s="25"/>
      <c r="K74" s="25"/>
      <c r="L74" s="25"/>
      <c r="M74" s="25"/>
      <c r="N74" s="25"/>
      <c r="O74" s="25">
        <f>C74+D74+E74</f>
        <v>100.0</v>
      </c>
    </row>
    <row r="75" spans="1:15">
      <c r="A75" s="233"/>
      <c r="B75" s="25" t="s">
        <v>311</v>
      </c>
      <c r="C75" s="27">
        <f>+C76*B44/100</f>
        <v>7210.0</v>
      </c>
      <c r="D75" s="27">
        <f>C75*1</f>
        <v>7210.0</v>
      </c>
      <c r="E75" s="27">
        <f>D75*1</f>
        <v>7210.0</v>
      </c>
      <c r="F75" s="27">
        <f>E75*1</f>
        <v>7210.0</v>
      </c>
      <c r="G75" s="27">
        <f>F75*1</f>
        <v>7210.0</v>
      </c>
      <c r="H75" s="27">
        <f>G75*1</f>
        <v>7210.0</v>
      </c>
      <c r="I75" s="27">
        <f>H75*1</f>
        <v>7210.0</v>
      </c>
      <c r="J75" s="27">
        <f>+I75*2</f>
        <v>14420.0</v>
      </c>
      <c r="K75" s="27">
        <f>+J75*1</f>
        <v>14420.0</v>
      </c>
      <c r="L75" s="27">
        <f>+K75*1</f>
        <v>14420.0</v>
      </c>
      <c r="M75" s="25">
        <f>+L75*2</f>
        <v>28840.0</v>
      </c>
      <c r="N75" s="25">
        <f>+I75*3</f>
        <v>21630.0</v>
      </c>
      <c r="O75" s="27">
        <f>SUM(C75:N75)</f>
        <v>144200.0</v>
      </c>
    </row>
    <row r="76" spans="1:15">
      <c r="A76" s="227"/>
      <c r="B76" s="25" t="s">
        <v>310</v>
      </c>
      <c r="C76" s="25">
        <v>5.0</v>
      </c>
      <c r="D76" s="25">
        <v>5.0</v>
      </c>
      <c r="E76" s="25">
        <v>5.0</v>
      </c>
      <c r="F76" s="25">
        <v>5.0</v>
      </c>
      <c r="G76" s="25">
        <v>5.0</v>
      </c>
      <c r="H76" s="25">
        <v>5.0</v>
      </c>
      <c r="I76" s="25">
        <v>5.0</v>
      </c>
      <c r="J76" s="25">
        <v>10.0</v>
      </c>
      <c r="K76" s="25">
        <v>10.0</v>
      </c>
      <c r="L76" s="25">
        <v>10.0</v>
      </c>
      <c r="M76" s="25">
        <v>20.0</v>
      </c>
      <c r="N76" s="25">
        <v>15.0</v>
      </c>
      <c r="O76" s="25">
        <f>SUM(C76:N76)</f>
        <v>100.0</v>
      </c>
    </row>
    <row r="77" spans="1:15">
      <c r="A77" s="123" t="s">
        <v>312</v>
      </c>
      <c r="B77" s="25" t="s">
        <v>313</v>
      </c>
      <c r="C77" s="108">
        <f>+C78*B42/100</f>
        <v>4200.0</v>
      </c>
      <c r="D77" s="108">
        <f>+D78*B42/100</f>
        <v>8400.0</v>
      </c>
      <c r="E77" s="108">
        <f>E78*B42/100</f>
        <v>8400.0</v>
      </c>
      <c r="F77" s="108">
        <f>F78*B42/100</f>
        <v>8400.0</v>
      </c>
      <c r="G77" s="108">
        <f>+G78*B42/100</f>
        <v>10500.0</v>
      </c>
      <c r="H77" s="108">
        <f>G77*1</f>
        <v>10500.0</v>
      </c>
      <c r="I77" s="108">
        <f>I78/100*B42</f>
        <v>21000.0</v>
      </c>
      <c r="J77" s="108">
        <f>I77*1</f>
        <v>21000.0</v>
      </c>
      <c r="K77" s="108">
        <f>+K78*B42/100</f>
        <v>23100.0</v>
      </c>
      <c r="L77" s="108">
        <f>+L78*B42/100</f>
        <v>31500.0</v>
      </c>
      <c r="M77" s="108">
        <f>L77*1</f>
        <v>31500.0</v>
      </c>
      <c r="N77" s="108">
        <f>M77*1</f>
        <v>31500.0</v>
      </c>
      <c r="O77" s="108">
        <f>SUM(C77:N77)</f>
        <v>210000.0</v>
      </c>
    </row>
    <row r="78" spans="1:15">
      <c r="A78" s="227"/>
      <c r="B78" s="25" t="s">
        <v>310</v>
      </c>
      <c r="C78" s="25">
        <v>2.0</v>
      </c>
      <c r="D78" s="25">
        <v>4.0</v>
      </c>
      <c r="E78" s="25">
        <v>4.0</v>
      </c>
      <c r="F78" s="25">
        <v>4.0</v>
      </c>
      <c r="G78" s="25">
        <v>5.0</v>
      </c>
      <c r="H78" s="25">
        <v>5.0</v>
      </c>
      <c r="I78" s="25">
        <v>10.0</v>
      </c>
      <c r="J78" s="25">
        <v>10.0</v>
      </c>
      <c r="K78" s="25">
        <v>11.0</v>
      </c>
      <c r="L78" s="25">
        <v>15.0</v>
      </c>
      <c r="M78" s="25">
        <v>15.0</v>
      </c>
      <c r="N78" s="25">
        <v>15.0</v>
      </c>
      <c r="O78" s="25">
        <f>SUM(C78:N78)</f>
        <v>100.0</v>
      </c>
    </row>
    <row r="79" spans="1:15">
      <c r="A79" s="25" t="s">
        <v>314</v>
      </c>
      <c r="B79" s="25"/>
      <c r="C79" s="27">
        <f>+C77-(C73+C75)</f>
        <v>-6210.0</v>
      </c>
      <c r="D79" s="27">
        <f>+D77-(D73+D75)</f>
        <v>-1210.0</v>
      </c>
      <c r="E79" s="27">
        <f>+E77-(E73+E75)</f>
        <v>-1210.0</v>
      </c>
      <c r="F79" s="27">
        <f>+F77-(F73+F75)</f>
        <v>1190.0</v>
      </c>
      <c r="G79" s="27">
        <f>+G77-(G73+G75)</f>
        <v>3290.0</v>
      </c>
      <c r="H79" s="27">
        <f>+H77-(H73+H75)</f>
        <v>3290.0</v>
      </c>
      <c r="I79" s="27">
        <f>+I77-(I73+I75)</f>
        <v>13790.0</v>
      </c>
      <c r="J79" s="27">
        <f>+J77-(J73+J75)</f>
        <v>6580.0</v>
      </c>
      <c r="K79" s="27">
        <f>+K77-(K73+K75)</f>
        <v>8680.0</v>
      </c>
      <c r="L79" s="27">
        <f>+L77-(L73+L75)</f>
        <v>17080.0</v>
      </c>
      <c r="M79" s="27">
        <f>+M77-(M73+M75)</f>
        <v>2660.0</v>
      </c>
      <c r="N79" s="27">
        <f>+N77-(N73+N75)</f>
        <v>9870.0</v>
      </c>
      <c r="O79" s="27">
        <f>SUM(C79:N79)</f>
        <v>57800.0</v>
      </c>
    </row>
    <row r="80" spans="1: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>
      <c r="A81" s="55"/>
      <c r="B81" s="21"/>
      <c r="C81" s="117"/>
      <c r="D81" s="117"/>
      <c r="E81" s="117"/>
      <c r="F81" s="21"/>
      <c r="G81" s="21"/>
    </row>
    <row r="82" spans="1:15">
      <c r="A82" s="55"/>
      <c r="B82" s="21"/>
      <c r="C82" s="117"/>
      <c r="D82" s="117"/>
      <c r="E82" s="117"/>
      <c r="F82" s="21"/>
      <c r="G82" s="21"/>
    </row>
    <row r="83" spans="1:15">
      <c r="A83" s="55"/>
      <c r="B83" s="21"/>
      <c r="C83" s="117"/>
      <c r="D83" s="117"/>
      <c r="E83" s="117"/>
      <c r="F83" s="21"/>
      <c r="G83" s="21"/>
    </row>
    <row r="84" spans="1:15">
      <c r="A84" s="55"/>
      <c r="B84" s="21"/>
      <c r="C84" s="117"/>
      <c r="D84" s="117"/>
      <c r="E84" s="117"/>
      <c r="F84" s="21"/>
      <c r="G84" s="21"/>
    </row>
    <row r="85" spans="1:15">
      <c r="A85" s="55"/>
      <c r="B85" s="21"/>
      <c r="C85" s="117"/>
      <c r="D85" s="117"/>
      <c r="E85" s="117"/>
      <c r="F85" s="21"/>
      <c r="G85" s="21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35">
    <mergeCell ref="B66:C66"/>
    <mergeCell ref="D66:E66"/>
    <mergeCell ref="A72:A76"/>
    <mergeCell ref="B67:C67"/>
    <mergeCell ref="D67:E67"/>
    <mergeCell ref="B68:C68"/>
    <mergeCell ref="D68:E68"/>
    <mergeCell ref="B63:C63"/>
    <mergeCell ref="D63:E63"/>
    <mergeCell ref="B64:C64"/>
    <mergeCell ref="D64:E64"/>
    <mergeCell ref="B65:C65"/>
    <mergeCell ref="D65:E65"/>
    <mergeCell ref="B51:C51"/>
    <mergeCell ref="B52:C52"/>
    <mergeCell ref="B61:C61"/>
    <mergeCell ref="D61:E61"/>
    <mergeCell ref="B62:C62"/>
    <mergeCell ref="D62:E62"/>
    <mergeCell ref="A77:A78"/>
    <mergeCell ref="B57:C57"/>
    <mergeCell ref="B58:C58"/>
    <mergeCell ref="A40:G40"/>
    <mergeCell ref="D57:E57"/>
    <mergeCell ref="D58:E58"/>
    <mergeCell ref="B53:C53"/>
    <mergeCell ref="B54:C54"/>
    <mergeCell ref="B55:C55"/>
    <mergeCell ref="B56:C56"/>
    <mergeCell ref="D51:E51"/>
    <mergeCell ref="D52:E52"/>
    <mergeCell ref="D53:E53"/>
    <mergeCell ref="D54:E54"/>
    <mergeCell ref="D55:E55"/>
    <mergeCell ref="D56:E56"/>
  </mergeCells>
</worksheet>
</file>

<file path=xl/worksheets/sheet3.xml><?xml version="1.0" encoding="utf-8"?>
<worksheet xmlns="http://schemas.openxmlformats.org/spreadsheetml/2006/main" xmlns:r="http://schemas.openxmlformats.org/officeDocument/2006/relationships">
  <dimension ref="A1:Q192"/>
  <sheetViews>
    <sheetView showGridLines="1" workbookViewId="0" topLeftCell="A1">
      <selection activeCell="A1" sqref="A1"/>
    </sheetView>
  </sheetViews>
  <sheetFormatPr defaultRowHeight="15"/>
  <cols>
    <col min="1" max="1" width="15.42578125" customWidth="1"/>
    <col min="2" max="2" width="20.140625" customWidth="1"/>
    <col min="3" max="3" width="21.0" customWidth="1"/>
    <col min="4" max="5" width="20.140625" customWidth="1"/>
    <col min="6" max="6" width="19.5703125" customWidth="1"/>
    <col min="7" max="7" width="17.42578125" customWidth="1"/>
    <col min="8" max="8" width="19.28515625" customWidth="1"/>
    <col min="9" max="9" width="18.140625" customWidth="1"/>
    <col min="10" max="10" width="16.85546875" customWidth="1"/>
    <col min="11" max="11" width="17.85546875" customWidth="1"/>
    <col min="12" max="12" width="17.0" customWidth="1"/>
    <col min="13" max="13" width="16.85546875" customWidth="1"/>
    <col min="14" max="14" width="16.42578125" customWidth="1"/>
    <col min="15" max="15" width="16.28515625" customWidth="1"/>
  </cols>
  <sheetData>
    <row r="1" spans="1:17">
      <c r="B1" s="24" t="s">
        <v>315</v>
      </c>
    </row>
    <row r="3" spans="1:17">
      <c r="A3" s="46" t="s">
        <v>316</v>
      </c>
      <c r="B3" s="46"/>
      <c r="C3" s="46" t="s">
        <v>317</v>
      </c>
      <c r="D3" s="46" t="s">
        <v>318</v>
      </c>
      <c r="E3" s="46" t="s">
        <v>319</v>
      </c>
      <c r="F3" s="46" t="s">
        <v>320</v>
      </c>
      <c r="G3" s="46" t="s">
        <v>321</v>
      </c>
    </row>
    <row r="4" spans="1:17">
      <c r="A4" s="26" t="s">
        <v>322</v>
      </c>
      <c r="B4" s="26"/>
      <c r="C4" s="29">
        <f>'Chiffre d''affaires'!C15</f>
        <v>210000.0</v>
      </c>
      <c r="D4" s="29">
        <f>'Chiffre d''affaires'!D15</f>
        <v>220500.0</v>
      </c>
      <c r="E4" s="29">
        <f>'Chiffre d''affaires'!E15</f>
        <v>231525.0</v>
      </c>
      <c r="F4" s="29">
        <f>'Chiffre d''affaires'!F15</f>
        <v>243101.25</v>
      </c>
      <c r="G4" s="29">
        <f>'Chiffre d''affaires'!G15</f>
        <v>255256.3125</v>
      </c>
    </row>
    <row r="5" spans="1:17">
      <c r="A5" s="25" t="s">
        <v>323</v>
      </c>
      <c r="B5" s="25"/>
      <c r="C5" s="27">
        <f>Investissements_Charges!B28+Investissements_Charges!B30</f>
        <v>136100.0</v>
      </c>
      <c r="D5" s="27">
        <f>Investissements_Charges!C28+Investissements_Charges!C30</f>
        <v>142890.0</v>
      </c>
      <c r="E5" s="27">
        <f>Investissements_Charges!D28+Investissements_Charges!D30</f>
        <v>150022.5</v>
      </c>
      <c r="F5" s="27">
        <f>Investissements_Charges!E28+Investissements_Charges!E30</f>
        <v>157511.50500000003</v>
      </c>
      <c r="G5" s="27">
        <f>Investissements_Charges!F28+Investissements_Charges!F30</f>
        <v>165374.83905</v>
      </c>
    </row>
    <row r="6" spans="1:17">
      <c r="A6" s="26" t="s">
        <v>324</v>
      </c>
      <c r="B6" s="26"/>
      <c r="C6" s="29">
        <f>C4-C5</f>
        <v>73900.0</v>
      </c>
      <c r="D6" s="29">
        <f>D4-D5</f>
        <v>77610.0</v>
      </c>
      <c r="E6" s="29">
        <f>E4-E5</f>
        <v>81502.5</v>
      </c>
      <c r="F6" s="29">
        <f>F4-F5</f>
        <v>85589.74499999997</v>
      </c>
      <c r="G6" s="29">
        <f>G4-G5</f>
        <v>89881.47344999999</v>
      </c>
    </row>
    <row r="7" spans="1:17">
      <c r="A7" s="25" t="s">
        <v>325</v>
      </c>
      <c r="B7" s="25"/>
      <c r="C7" s="27">
        <f>Investissements_Charges!B29</f>
        <v>8100.0</v>
      </c>
      <c r="D7" s="27">
        <f>Investissements_Charges!D22-Investissements_Charges!C29</f>
        <v>-145.0</v>
      </c>
      <c r="E7" s="27">
        <f>Investissements_Charges!D29</f>
        <v>8264.25</v>
      </c>
      <c r="F7" s="27">
        <f>Investissements_Charges!E29</f>
        <v>9041.0625</v>
      </c>
      <c r="G7" s="27">
        <f>Investissements_Charges!F29</f>
        <v>9893.075625000001</v>
      </c>
    </row>
    <row r="8" spans="1:17">
      <c r="A8" s="26" t="s">
        <v>326</v>
      </c>
      <c r="B8" s="26"/>
      <c r="C8" s="29">
        <f>+C6-C7</f>
        <v>65800.0</v>
      </c>
      <c r="D8" s="29">
        <f>+D6-D7</f>
        <v>77755.0</v>
      </c>
      <c r="E8" s="29">
        <f>+E6-E7</f>
        <v>73238.25</v>
      </c>
      <c r="F8" s="29">
        <f>+F6-F7</f>
        <v>76548.68249999997</v>
      </c>
      <c r="G8" s="29">
        <f>+G6-G7</f>
        <v>79988.397825</v>
      </c>
      <c r="H8" s="32"/>
    </row>
    <row r="9" spans="1:17">
      <c r="A9" s="25" t="s">
        <v>327</v>
      </c>
      <c r="B9" s="25"/>
      <c r="C9" s="27">
        <f>Investissements_Charges!F22</f>
        <v>0.0</v>
      </c>
      <c r="D9" s="27">
        <f>+C9</f>
        <v>0.0</v>
      </c>
      <c r="E9" s="27">
        <f>+D9</f>
        <v>0.0</v>
      </c>
      <c r="F9" s="27">
        <f>+E9</f>
        <v>0.0</v>
      </c>
      <c r="G9" s="27">
        <f>+F9</f>
        <v>0.0</v>
      </c>
    </row>
    <row r="10" spans="1:17">
      <c r="A10" s="25" t="s">
        <v>328</v>
      </c>
      <c r="B10" s="25"/>
      <c r="C10" s="27">
        <f>+C8-C9</f>
        <v>65800.0</v>
      </c>
      <c r="D10" s="27">
        <f>+D8-D9</f>
        <v>77755.0</v>
      </c>
      <c r="E10" s="27">
        <f>+E8-E9</f>
        <v>73238.25</v>
      </c>
      <c r="F10" s="27">
        <f>+F8-F9</f>
        <v>76548.68249999997</v>
      </c>
      <c r="G10" s="27">
        <f>+G8-G9</f>
        <v>79988.397825</v>
      </c>
    </row>
    <row r="11" spans="1:17">
      <c r="A11" s="26" t="s">
        <v>329</v>
      </c>
      <c r="B11" s="26"/>
      <c r="C11" s="29">
        <f>+C10</f>
        <v>65800.0</v>
      </c>
      <c r="D11" s="29">
        <f>+D10</f>
        <v>77755.0</v>
      </c>
      <c r="E11" s="29">
        <f>+E10</f>
        <v>73238.25</v>
      </c>
      <c r="F11" s="29">
        <f>+F10</f>
        <v>76548.68249999997</v>
      </c>
      <c r="G11" s="29">
        <f>+G10</f>
        <v>79988.397825</v>
      </c>
      <c r="H11" s="32"/>
    </row>
    <row r="12" spans="1:17">
      <c r="A12" s="25" t="s">
        <v>330</v>
      </c>
      <c r="B12" s="25"/>
      <c r="C12" s="27">
        <f>+C11*0.22</f>
        <v>14476.0</v>
      </c>
      <c r="D12" s="27">
        <f>+D11*0.22</f>
        <v>17106.1</v>
      </c>
      <c r="E12" s="27">
        <f>+E11*0.22</f>
        <v>16112.415</v>
      </c>
      <c r="F12" s="27">
        <f>+F11*0.22</f>
        <v>16840.71014999999</v>
      </c>
      <c r="G12" s="27">
        <f>+G11*0.22</f>
        <v>17597.4475215</v>
      </c>
    </row>
    <row r="13" spans="1:17">
      <c r="A13" s="26" t="s">
        <v>331</v>
      </c>
      <c r="B13" s="26"/>
      <c r="C13" s="29">
        <f>+C11-C12</f>
        <v>51324.0</v>
      </c>
      <c r="D13" s="29">
        <f>+D11-D12</f>
        <v>60648.9</v>
      </c>
      <c r="E13" s="29">
        <f>+E11-E12</f>
        <v>57125.835</v>
      </c>
      <c r="F13" s="29">
        <f>+F11-F12</f>
        <v>59707.972349999975</v>
      </c>
      <c r="G13" s="29">
        <f>+G11-G12</f>
        <v>62390.950303499994</v>
      </c>
    </row>
    <row r="14" spans="1:17">
      <c r="A14" s="26" t="s">
        <v>332</v>
      </c>
      <c r="B14" s="26"/>
      <c r="C14" s="46">
        <f>+C13/C4</f>
        <v>0.2444</v>
      </c>
      <c r="D14" s="46">
        <f>+D13/D4</f>
        <v>0.2750517006802721</v>
      </c>
      <c r="E14" s="46">
        <f>+E13/E4</f>
        <v>0.24673722060252673</v>
      </c>
      <c r="F14" s="46">
        <f>+F13/F4</f>
        <v>0.2456094830857512</v>
      </c>
      <c r="G14" s="46">
        <f>+G13/G4</f>
        <v>0.24442471056812745</v>
      </c>
    </row>
    <row r="15" spans="1:17">
      <c r="A15" s="26" t="s">
        <v>333</v>
      </c>
      <c r="B15" s="26"/>
      <c r="C15" s="46">
        <f>C13/Investissements_Charges!D22</f>
        <v>6.4155</v>
      </c>
      <c r="D15" s="46">
        <f>D13/Investissements_Charges!D22</f>
        <v>7.581112500000001</v>
      </c>
      <c r="E15" s="46">
        <f>E13/Investissements_Charges!D22</f>
        <v>7.140729375</v>
      </c>
      <c r="F15" s="46">
        <f>F13/Investissements_Charges!D22</f>
        <v>7.463496543749997</v>
      </c>
      <c r="G15" s="46">
        <f>G13/Investissements_Charges!D22</f>
        <v>7.798868787937499</v>
      </c>
    </row>
    <row r="16" spans="1:17">
      <c r="A16" s="26" t="s">
        <v>334</v>
      </c>
      <c r="B16" s="26"/>
      <c r="C16" s="29">
        <f>C13+C9</f>
        <v>51324.0</v>
      </c>
      <c r="D16" s="29">
        <f>D13+D9</f>
        <v>60648.9</v>
      </c>
      <c r="E16" s="29">
        <f>E13+E9</f>
        <v>57125.835</v>
      </c>
      <c r="F16" s="29">
        <f>F13+F9</f>
        <v>59707.972349999975</v>
      </c>
      <c r="G16" s="29">
        <f>G13+G9</f>
        <v>62390.950303499994</v>
      </c>
    </row>
    <row r="18" spans="1:17">
      <c r="B18" s="31" t="s">
        <v>335</v>
      </c>
    </row>
    <row r="20" spans="1:17">
      <c r="A20" s="55"/>
      <c r="B20" s="25"/>
      <c r="C20" s="46" t="s">
        <v>334</v>
      </c>
      <c r="D20" s="46"/>
      <c r="E20" s="46"/>
      <c r="F20" s="46"/>
      <c r="G20" s="46"/>
      <c r="H20" s="46"/>
    </row>
    <row r="21" spans="1:17" ht="30.0" customHeight="1">
      <c r="A21" s="55"/>
      <c r="B21" s="66" t="s">
        <v>336</v>
      </c>
      <c r="C21" s="66">
        <v>1.0</v>
      </c>
      <c r="D21" s="66">
        <v>2.0</v>
      </c>
      <c r="E21" s="66">
        <v>3.0</v>
      </c>
      <c r="F21" s="66">
        <v>4.0</v>
      </c>
      <c r="G21" s="66">
        <v>5.0</v>
      </c>
    </row>
    <row r="22" spans="1:17" ht="30.0" customHeight="1">
      <c r="A22" s="55"/>
      <c r="B22" s="63">
        <f>+-Investissements_Charges!D22</f>
        <v>-8000.0</v>
      </c>
      <c r="C22" s="63">
        <f>C16</f>
        <v>51324.0</v>
      </c>
      <c r="D22" s="63">
        <f>D16</f>
        <v>60648.9</v>
      </c>
      <c r="E22" s="63">
        <f>E16</f>
        <v>57125.835</v>
      </c>
      <c r="F22" s="63">
        <f>F16</f>
        <v>59707.972349999975</v>
      </c>
      <c r="G22" s="63">
        <f>G16</f>
        <v>62390.950303499994</v>
      </c>
    </row>
    <row r="23" spans="1:17" s="24" customFormat="1" ht="30.0" customHeight="1">
      <c r="A23" s="81" t="s">
        <v>337</v>
      </c>
      <c r="B23" s="64"/>
      <c r="C23" s="65">
        <f>C22</f>
        <v>51324.0</v>
      </c>
      <c r="D23" s="65">
        <f>C23+D22</f>
        <v>111972.9</v>
      </c>
      <c r="E23" s="65">
        <f>D23+E22</f>
        <v>169098.735</v>
      </c>
      <c r="F23" s="65">
        <f>E23+F22</f>
        <v>228806.70734999995</v>
      </c>
      <c r="G23" s="65">
        <f>F23+G22</f>
        <v>291197.6576535</v>
      </c>
    </row>
    <row r="24" spans="1:17" ht="30.0" customHeight="1">
      <c r="A24" s="55"/>
    </row>
    <row r="25" spans="1:17" ht="30.0" customHeight="1">
      <c r="A25" s="56" t="s">
        <v>338</v>
      </c>
      <c r="B25" s="66" t="s">
        <v>336</v>
      </c>
      <c r="C25" s="26">
        <f>1+9.15%</f>
        <v>1.0915</v>
      </c>
      <c r="D25" s="26">
        <f>1+POWER(1+9.15%,-2)</f>
        <v>1.839368215937546</v>
      </c>
      <c r="E25" s="26">
        <f>1+POWER(1+9.15%,-3)</f>
        <v>1.7690043206024244</v>
      </c>
      <c r="F25" s="26">
        <f>1+POWER(1+9.15%,-4)</f>
        <v>1.704539001926179</v>
      </c>
      <c r="G25" s="26">
        <f>1+POWER(1+9.15%,-5)</f>
        <v>1.6454777846323216</v>
      </c>
    </row>
    <row r="26" spans="1:17" ht="30.0" customHeight="1">
      <c r="A26" s="55" t="s">
        <v>339</v>
      </c>
      <c r="B26" s="27">
        <f>B22</f>
        <v>-8000.0</v>
      </c>
      <c r="C26" s="27">
        <f>C23/C25</f>
        <v>47021.530004580854</v>
      </c>
      <c r="D26" s="27">
        <f>D23/D25</f>
        <v>60875.739305371324</v>
      </c>
      <c r="E26" s="27">
        <f>E22/E25</f>
        <v>32292.64865817067</v>
      </c>
      <c r="F26" s="27">
        <f>F22/F25</f>
        <v>35028.809714842675</v>
      </c>
      <c r="G26" s="27">
        <f>G22/G25</f>
        <v>37916.616612020145</v>
      </c>
    </row>
    <row r="27" spans="1:17" ht="30.0" customHeight="1">
      <c r="A27" s="56" t="s">
        <v>340</v>
      </c>
      <c r="B27" s="25"/>
      <c r="C27" s="29">
        <f>C26</f>
        <v>47021.530004580854</v>
      </c>
      <c r="D27" s="29">
        <f>C27+D26</f>
        <v>107897.26930995219</v>
      </c>
      <c r="E27" s="29">
        <f>D27+E26</f>
        <v>140189.91796812287</v>
      </c>
      <c r="F27" s="29">
        <f>E27+F26</f>
        <v>175218.72768296555</v>
      </c>
      <c r="G27" s="29">
        <f>F27+G26</f>
        <v>213135.3442949857</v>
      </c>
    </row>
    <row r="28" spans="1:17" ht="30.0" customHeight="1">
      <c r="A28" s="56"/>
      <c r="B28" s="21"/>
      <c r="C28" s="88"/>
      <c r="D28" s="88"/>
      <c r="E28" s="88"/>
      <c r="F28" s="88"/>
      <c r="G28" s="88"/>
      <c r="H28" s="88"/>
    </row>
    <row r="29" spans="1:17">
      <c r="A29" s="55"/>
    </row>
    <row r="30" spans="1:17">
      <c r="A30" s="56" t="s">
        <v>341</v>
      </c>
      <c r="B30" s="30">
        <f>NPV(9.15%,-Investissements_Charges!D22,C16,D16,E16,F16,G16)</f>
        <v>198073.17504231795</v>
      </c>
      <c r="F30" s="28"/>
    </row>
    <row r="31" spans="1:17">
      <c r="A31" s="56" t="s">
        <v>342</v>
      </c>
      <c r="B31" s="24">
        <f>IRR(B22:G22,0.01)</f>
        <v>6.562464069890032</v>
      </c>
      <c r="F31" s="28"/>
    </row>
    <row r="32" spans="1:17">
      <c r="A32" s="56" t="s">
        <v>343</v>
      </c>
      <c r="B32" s="30">
        <f>B30/Investissements_Charges!D22</f>
        <v>24.759146880289745</v>
      </c>
    </row>
    <row r="33" spans="1:17">
      <c r="A33" s="56"/>
      <c r="B33" s="30"/>
    </row>
    <row r="34" spans="1:17">
      <c r="A34" s="56"/>
      <c r="B34" s="30"/>
    </row>
    <row r="35" spans="1:17">
      <c r="A35" s="56"/>
      <c r="B35" s="30"/>
    </row>
    <row r="36" spans="1:17">
      <c r="A36" s="56"/>
      <c r="B36" s="30"/>
    </row>
    <row r="37" spans="1:17">
      <c r="A37" s="56"/>
      <c r="B37" s="30"/>
    </row>
    <row r="38" spans="1:17">
      <c r="A38" s="56"/>
      <c r="B38" s="30"/>
    </row>
    <row r="39" spans="1:17">
      <c r="A39" s="56"/>
      <c r="B39" s="30"/>
      <c r="F39" s="28"/>
    </row>
    <row r="40" spans="1:17">
      <c r="A40" s="56"/>
      <c r="B40" s="30"/>
    </row>
    <row r="41" spans="1:17">
      <c r="A41" s="56"/>
      <c r="B41" s="30"/>
    </row>
    <row r="42" spans="1:17">
      <c r="A42" s="56"/>
      <c r="B42" s="30"/>
    </row>
    <row r="43" spans="1:17">
      <c r="A43" s="56"/>
      <c r="B43" s="30"/>
    </row>
    <row r="44" spans="1:17">
      <c r="A44" s="56"/>
      <c r="B44" s="30"/>
    </row>
    <row r="45" spans="1:17" ht="105.0" customHeight="1"/>
    <row r="97" spans="1:17" ht="165.0" customHeight="1"/>
    <row r="106" spans="1:17">
      <c r="A106" s="55"/>
      <c r="B106" s="21"/>
      <c r="C106" s="117"/>
      <c r="D106" s="117"/>
      <c r="E106" s="117"/>
      <c r="F106" s="21"/>
      <c r="G106" s="21"/>
    </row>
    <row r="107" spans="1:17">
      <c r="A107" s="55"/>
      <c r="B107" s="21"/>
      <c r="C107" s="117"/>
      <c r="D107" s="117"/>
      <c r="E107" s="117"/>
      <c r="F107" s="21"/>
      <c r="G107" s="21"/>
    </row>
    <row r="108" spans="1:17">
      <c r="A108" s="55"/>
      <c r="B108" s="21"/>
      <c r="C108" s="117"/>
      <c r="D108" s="117"/>
      <c r="E108" s="117"/>
      <c r="F108" s="21"/>
      <c r="G108" s="21"/>
    </row>
    <row r="109" spans="1:17">
      <c r="A109" s="55"/>
      <c r="B109" s="21"/>
      <c r="C109" s="117"/>
      <c r="D109" s="117"/>
      <c r="E109" s="117"/>
      <c r="F109" s="21"/>
      <c r="G109" s="21"/>
    </row>
    <row r="110" spans="1:17">
      <c r="A110" s="55"/>
      <c r="B110" s="21"/>
      <c r="C110" s="117"/>
      <c r="D110" s="117"/>
      <c r="E110" s="117"/>
      <c r="F110" s="21"/>
      <c r="G110" s="21"/>
    </row>
    <row r="111" spans="1:17">
      <c r="A111" s="55"/>
      <c r="B111" s="21"/>
      <c r="C111" s="117"/>
      <c r="D111" s="117"/>
      <c r="E111" s="117"/>
      <c r="F111" s="21"/>
      <c r="G111" s="21"/>
    </row>
    <row r="112" spans="1:17">
      <c r="A112" s="55"/>
      <c r="B112" s="21"/>
      <c r="C112" s="117"/>
      <c r="D112" s="117"/>
      <c r="E112" s="117"/>
      <c r="F112" s="21"/>
      <c r="G112" s="21"/>
    </row>
    <row r="113" spans="1:17">
      <c r="A113" s="55"/>
      <c r="B113" s="21"/>
      <c r="C113" s="117"/>
      <c r="D113" s="117"/>
      <c r="E113" s="117"/>
      <c r="F113" s="21"/>
      <c r="G113" s="21"/>
    </row>
    <row r="115" spans="1:17">
      <c r="A115" t="s">
        <v>344</v>
      </c>
    </row>
    <row r="117" spans="1:17">
      <c r="A117" t="s">
        <v>345</v>
      </c>
      <c r="B117" t="s">
        <v>346</v>
      </c>
    </row>
    <row r="118" spans="1:17">
      <c r="A118" t="s">
        <v>347</v>
      </c>
      <c r="B118" t="s">
        <v>348</v>
      </c>
    </row>
    <row r="119" spans="1:17">
      <c r="B119" t="s">
        <v>90</v>
      </c>
    </row>
    <row r="122" spans="1:17">
      <c r="A122" t="s">
        <v>349</v>
      </c>
    </row>
    <row r="123" spans="1:17" ht="30.0">
      <c r="A123" s="25" t="s">
        <v>350</v>
      </c>
      <c r="B123" s="106" t="s">
        <v>351</v>
      </c>
      <c r="C123" s="25" t="s">
        <v>352</v>
      </c>
      <c r="D123" s="25" t="s">
        <v>353</v>
      </c>
      <c r="E123" s="25"/>
      <c r="F123" s="25"/>
      <c r="G123" s="25"/>
    </row>
    <row r="124" spans="1:17" ht="30.0">
      <c r="A124" s="25" t="s">
        <v>354</v>
      </c>
      <c r="B124" s="106" t="s">
        <v>355</v>
      </c>
      <c r="C124" s="106" t="s">
        <v>346</v>
      </c>
      <c r="D124" s="115" t="s">
        <v>356</v>
      </c>
      <c r="E124" s="118"/>
      <c r="F124" s="114"/>
      <c r="G124" s="25"/>
    </row>
    <row r="125" spans="1:17" ht="30.0">
      <c r="A125" s="25" t="s">
        <v>357</v>
      </c>
      <c r="B125" s="106" t="s">
        <v>355</v>
      </c>
      <c r="C125" s="106" t="s">
        <v>346</v>
      </c>
      <c r="D125" s="111" t="s">
        <v>358</v>
      </c>
      <c r="E125" s="224"/>
      <c r="F125" s="221"/>
      <c r="G125" s="25"/>
    </row>
    <row r="126" spans="1:17" ht="30.0">
      <c r="A126" s="25" t="s">
        <v>86</v>
      </c>
      <c r="B126" s="106" t="s">
        <v>355</v>
      </c>
      <c r="C126" s="106" t="s">
        <v>346</v>
      </c>
      <c r="D126" s="25" t="s">
        <v>359</v>
      </c>
      <c r="E126" s="25"/>
      <c r="F126" s="25"/>
      <c r="G126" s="25"/>
    </row>
    <row r="127" spans="1:17" ht="30.0">
      <c r="A127" s="246" t="s">
        <v>360</v>
      </c>
      <c r="B127" s="106" t="s">
        <v>355</v>
      </c>
      <c r="C127" s="106" t="s">
        <v>346</v>
      </c>
      <c r="D127" s="111" t="s">
        <v>361</v>
      </c>
      <c r="E127" s="224"/>
      <c r="F127" s="221"/>
      <c r="G127" s="25"/>
    </row>
    <row r="128" spans="1:17" ht="30.0">
      <c r="A128" s="247"/>
      <c r="B128" s="106" t="s">
        <v>355</v>
      </c>
      <c r="C128" s="106" t="s">
        <v>346</v>
      </c>
      <c r="D128" s="25" t="s">
        <v>362</v>
      </c>
      <c r="E128" s="25"/>
      <c r="F128" s="25"/>
      <c r="G128" s="25"/>
    </row>
    <row r="129" spans="1:17" ht="30.0">
      <c r="A129" s="247"/>
      <c r="B129" s="106" t="s">
        <v>355</v>
      </c>
      <c r="C129" s="106" t="s">
        <v>346</v>
      </c>
      <c r="D129" s="111" t="s">
        <v>97</v>
      </c>
      <c r="E129" s="224"/>
      <c r="F129" s="221"/>
      <c r="G129" s="25"/>
    </row>
    <row r="130" spans="1:17" ht="30.0">
      <c r="A130" s="247"/>
      <c r="B130" s="106" t="s">
        <v>355</v>
      </c>
      <c r="C130" s="106" t="s">
        <v>346</v>
      </c>
      <c r="D130" s="25" t="s">
        <v>363</v>
      </c>
      <c r="E130" s="25"/>
      <c r="F130" s="25"/>
      <c r="G130" s="25"/>
    </row>
    <row r="131" spans="1:17" ht="30.0">
      <c r="A131" s="248"/>
      <c r="B131" s="106" t="s">
        <v>355</v>
      </c>
      <c r="C131" s="106" t="s">
        <v>346</v>
      </c>
      <c r="D131" s="25" t="s">
        <v>364</v>
      </c>
      <c r="E131" s="25"/>
      <c r="F131" s="25"/>
      <c r="G131" s="25"/>
    </row>
    <row r="132" spans="1:17" ht="75.0" customHeight="1">
      <c r="A132" s="106" t="s">
        <v>365</v>
      </c>
      <c r="B132" s="106" t="s">
        <v>355</v>
      </c>
      <c r="C132" s="106" t="s">
        <v>346</v>
      </c>
      <c r="D132" s="47" t="s">
        <v>366</v>
      </c>
      <c r="E132" s="225"/>
      <c r="F132" s="48"/>
      <c r="G132" s="25"/>
    </row>
    <row r="133" spans="1:17" ht="30.0">
      <c r="A133" s="25"/>
      <c r="B133" s="106" t="s">
        <v>355</v>
      </c>
      <c r="C133" s="106" t="s">
        <v>346</v>
      </c>
      <c r="D133" s="25"/>
      <c r="E133" s="25"/>
      <c r="F133" s="25"/>
      <c r="G133" s="25"/>
    </row>
    <row r="134" spans="1:17" ht="98.25" customHeight="1">
      <c r="A134" s="113" t="s">
        <v>90</v>
      </c>
      <c r="B134" s="106" t="s">
        <v>355</v>
      </c>
      <c r="C134" s="106" t="s">
        <v>346</v>
      </c>
      <c r="D134" s="25"/>
      <c r="E134" s="115"/>
      <c r="F134" s="47" t="s">
        <v>367</v>
      </c>
      <c r="G134" s="48"/>
    </row>
    <row r="135" spans="1:17" ht="30.0">
      <c r="A135" s="123" t="s">
        <v>357</v>
      </c>
      <c r="B135" s="106" t="s">
        <v>355</v>
      </c>
      <c r="C135" s="106" t="s">
        <v>346</v>
      </c>
      <c r="D135" s="25" t="s">
        <v>368</v>
      </c>
      <c r="E135" s="115"/>
      <c r="F135" s="115"/>
      <c r="G135" s="114"/>
    </row>
    <row r="136" spans="1:17" ht="30.0">
      <c r="A136" s="233"/>
      <c r="B136" s="106" t="s">
        <v>355</v>
      </c>
      <c r="C136" s="106" t="s">
        <v>346</v>
      </c>
      <c r="D136" s="111" t="s">
        <v>369</v>
      </c>
      <c r="E136" s="224"/>
      <c r="F136" s="224"/>
      <c r="G136" s="221"/>
    </row>
    <row r="137" spans="1:17" ht="30.0">
      <c r="A137" s="227"/>
      <c r="B137" s="106" t="s">
        <v>355</v>
      </c>
      <c r="C137" s="106" t="s">
        <v>346</v>
      </c>
      <c r="D137" s="111" t="s">
        <v>370</v>
      </c>
      <c r="E137" s="224"/>
      <c r="F137" s="224"/>
      <c r="G137" s="221"/>
    </row>
    <row r="138" spans="1:17" ht="30.0">
      <c r="A138" s="25"/>
      <c r="B138" s="106" t="s">
        <v>355</v>
      </c>
      <c r="C138" s="106" t="s">
        <v>346</v>
      </c>
      <c r="D138" s="111" t="s">
        <v>109</v>
      </c>
      <c r="E138" s="224"/>
      <c r="F138" s="224"/>
      <c r="G138" s="221"/>
    </row>
    <row r="139" spans="1:17" ht="30.0">
      <c r="A139" s="123" t="s">
        <v>86</v>
      </c>
      <c r="B139" s="106" t="s">
        <v>355</v>
      </c>
      <c r="C139" s="106" t="s">
        <v>346</v>
      </c>
      <c r="D139" s="111" t="s">
        <v>103</v>
      </c>
      <c r="E139" s="224"/>
      <c r="F139" s="224"/>
      <c r="G139" s="221"/>
    </row>
    <row r="140" spans="1:17" ht="30.0">
      <c r="A140" s="227"/>
      <c r="B140" s="106" t="s">
        <v>355</v>
      </c>
      <c r="C140" s="106" t="s">
        <v>346</v>
      </c>
      <c r="D140" s="111" t="s">
        <v>371</v>
      </c>
      <c r="E140" s="224"/>
      <c r="F140" s="224"/>
      <c r="G140" s="221"/>
    </row>
    <row r="141" spans="1:17" ht="30.0">
      <c r="A141" s="123" t="s">
        <v>372</v>
      </c>
      <c r="B141" s="106" t="s">
        <v>355</v>
      </c>
      <c r="C141" s="106" t="s">
        <v>346</v>
      </c>
      <c r="D141" s="111" t="s">
        <v>373</v>
      </c>
      <c r="E141" s="224"/>
      <c r="F141" s="224"/>
      <c r="G141" s="221"/>
    </row>
    <row r="142" spans="1:17" ht="30.0">
      <c r="A142" s="233"/>
      <c r="B142" s="106" t="s">
        <v>355</v>
      </c>
      <c r="C142" s="106" t="s">
        <v>346</v>
      </c>
      <c r="D142" s="111" t="s">
        <v>374</v>
      </c>
      <c r="E142" s="224"/>
      <c r="F142" s="224"/>
      <c r="G142" s="221"/>
    </row>
    <row r="143" spans="1:17" ht="30.0">
      <c r="A143" s="233"/>
      <c r="B143" s="106" t="s">
        <v>355</v>
      </c>
      <c r="C143" s="106" t="s">
        <v>346</v>
      </c>
      <c r="D143" s="111" t="s">
        <v>375</v>
      </c>
      <c r="E143" s="224"/>
      <c r="F143" s="224"/>
      <c r="G143" s="221"/>
    </row>
    <row r="144" spans="1:17" ht="30.0">
      <c r="A144" s="227"/>
      <c r="B144" s="106" t="s">
        <v>355</v>
      </c>
      <c r="C144" s="106" t="s">
        <v>346</v>
      </c>
      <c r="D144" s="121" t="s">
        <v>376</v>
      </c>
      <c r="E144" s="130"/>
      <c r="F144" s="118"/>
      <c r="G144" s="114"/>
    </row>
    <row r="145" spans="1:17" ht="30.0" customHeight="1">
      <c r="A145" s="242" t="s">
        <v>88</v>
      </c>
      <c r="B145" s="106" t="s">
        <v>355</v>
      </c>
      <c r="C145" s="106" t="s">
        <v>346</v>
      </c>
      <c r="D145" s="111" t="s">
        <v>377</v>
      </c>
      <c r="E145" s="224"/>
      <c r="F145" s="224"/>
      <c r="G145" s="221"/>
    </row>
    <row r="146" spans="1:17" ht="30.0">
      <c r="A146" s="243"/>
      <c r="B146" s="106" t="s">
        <v>355</v>
      </c>
      <c r="C146" s="106" t="s">
        <v>346</v>
      </c>
      <c r="D146" s="111" t="s">
        <v>378</v>
      </c>
      <c r="E146" s="224"/>
      <c r="F146" s="224"/>
      <c r="G146" s="221"/>
    </row>
    <row r="147" spans="1:17" ht="30.0">
      <c r="A147" s="244"/>
      <c r="B147" s="106" t="s">
        <v>355</v>
      </c>
      <c r="C147" s="106" t="s">
        <v>346</v>
      </c>
      <c r="D147" s="111" t="s">
        <v>379</v>
      </c>
      <c r="E147" s="224"/>
      <c r="F147" s="224"/>
      <c r="G147" s="221"/>
    </row>
    <row r="148" spans="1:17" ht="30.0">
      <c r="A148" s="25" t="s">
        <v>380</v>
      </c>
      <c r="B148" s="106" t="s">
        <v>355</v>
      </c>
      <c r="C148" s="106" t="s">
        <v>346</v>
      </c>
      <c r="D148" s="25" t="s">
        <v>381</v>
      </c>
      <c r="E148" s="115"/>
      <c r="F148" s="115"/>
      <c r="G148" s="114"/>
    </row>
    <row r="149" spans="1:17" ht="60.0" customHeight="1">
      <c r="A149" s="106" t="s">
        <v>382</v>
      </c>
      <c r="B149" s="106" t="s">
        <v>355</v>
      </c>
      <c r="C149" s="106" t="s">
        <v>346</v>
      </c>
      <c r="D149" s="47" t="s">
        <v>383</v>
      </c>
      <c r="E149" s="225"/>
      <c r="F149" s="225"/>
      <c r="G149" s="48"/>
    </row>
    <row r="150" spans="1:17" ht="60.0">
      <c r="A150" s="106" t="s">
        <v>384</v>
      </c>
      <c r="B150" s="106" t="s">
        <v>355</v>
      </c>
      <c r="C150" s="106" t="s">
        <v>346</v>
      </c>
      <c r="D150" s="111" t="s">
        <v>385</v>
      </c>
      <c r="E150" s="224"/>
      <c r="F150" s="224"/>
      <c r="G150" s="221"/>
    </row>
    <row r="151" spans="1:17" ht="60.0">
      <c r="A151" s="106" t="s">
        <v>386</v>
      </c>
      <c r="B151" s="106" t="s">
        <v>355</v>
      </c>
      <c r="C151" s="106" t="s">
        <v>346</v>
      </c>
      <c r="D151" s="111" t="s">
        <v>387</v>
      </c>
      <c r="E151" s="224"/>
      <c r="F151" s="224"/>
      <c r="G151" s="221"/>
    </row>
    <row r="152" spans="1:17" ht="75.0" customHeight="1">
      <c r="A152" s="124" t="s">
        <v>388</v>
      </c>
      <c r="B152" s="123" t="s">
        <v>389</v>
      </c>
      <c r="C152" s="106" t="s">
        <v>346</v>
      </c>
      <c r="D152" s="111" t="s">
        <v>390</v>
      </c>
      <c r="E152" s="224"/>
      <c r="F152" s="224"/>
      <c r="G152" s="221"/>
    </row>
    <row r="153" spans="1:17">
      <c r="A153" s="106"/>
      <c r="B153" s="25"/>
      <c r="C153" s="106"/>
      <c r="D153" s="111"/>
      <c r="E153" s="224"/>
      <c r="F153" s="224"/>
      <c r="G153" s="221"/>
      <c r="H153">
        <f>20*5*30*0.15*0.9</f>
        <v>405.0</v>
      </c>
    </row>
    <row r="155" spans="1:17">
      <c r="A155" s="120"/>
    </row>
    <row r="156" spans="1:17" ht="120.0" customHeight="1">
      <c r="A156" s="238"/>
      <c r="B156" s="238"/>
      <c r="C156" s="238"/>
      <c r="D156" s="238"/>
      <c r="E156" s="238"/>
      <c r="F156" s="238"/>
      <c r="G156" s="238"/>
    </row>
    <row r="159" spans="1:17">
      <c r="D159" s="21"/>
      <c r="E159" s="21"/>
    </row>
    <row r="161" spans="1:17">
      <c r="A161" t="s">
        <v>391</v>
      </c>
    </row>
    <row r="162" spans="1:17">
      <c r="A162" s="227" t="s">
        <v>347</v>
      </c>
      <c r="B162" s="237" t="s">
        <v>392</v>
      </c>
      <c r="C162" s="237" t="s">
        <v>393</v>
      </c>
      <c r="D162" s="215" t="s">
        <v>394</v>
      </c>
      <c r="E162" s="124" t="s">
        <v>395</v>
      </c>
      <c r="F162" s="245" t="s">
        <v>396</v>
      </c>
      <c r="G162" s="239" t="s">
        <v>397</v>
      </c>
      <c r="H162" s="127" t="s">
        <v>398</v>
      </c>
      <c r="I162" s="127" t="s">
        <v>399</v>
      </c>
      <c r="J162" s="127" t="s">
        <v>400</v>
      </c>
      <c r="K162" s="127" t="s">
        <v>401</v>
      </c>
      <c r="L162" s="127" t="s">
        <v>402</v>
      </c>
      <c r="M162" s="125" t="s">
        <v>403</v>
      </c>
      <c r="N162" s="125" t="s">
        <v>404</v>
      </c>
      <c r="O162" s="125" t="s">
        <v>313</v>
      </c>
      <c r="P162" s="125" t="s">
        <v>295</v>
      </c>
      <c r="Q162" s="125" t="s">
        <v>405</v>
      </c>
    </row>
    <row r="163" spans="1:17">
      <c r="A163" s="62"/>
      <c r="B163" s="237"/>
      <c r="C163" s="237"/>
      <c r="D163" s="215"/>
      <c r="E163" s="241"/>
      <c r="F163" s="240"/>
      <c r="G163" s="240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>
      <c r="A164" s="123" t="s">
        <v>372</v>
      </c>
      <c r="B164" s="25" t="s">
        <v>406</v>
      </c>
      <c r="C164" s="25" t="s">
        <v>407</v>
      </c>
      <c r="D164" s="25" t="s">
        <v>408</v>
      </c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 ht="30.0">
      <c r="A165" s="233"/>
      <c r="B165" s="126" t="s">
        <v>409</v>
      </c>
      <c r="C165" s="127" t="s">
        <v>407</v>
      </c>
      <c r="D165" s="127" t="s">
        <v>407</v>
      </c>
      <c r="E165" s="127"/>
      <c r="F165" s="127"/>
      <c r="G165" s="127"/>
      <c r="H165" s="127"/>
      <c r="I165" s="127"/>
      <c r="J165" s="127"/>
      <c r="K165" s="127"/>
      <c r="L165" s="128"/>
    </row>
    <row r="166" spans="1:17" ht="30.0">
      <c r="A166" s="233"/>
      <c r="B166" s="106" t="s">
        <v>410</v>
      </c>
      <c r="C166" s="25" t="s">
        <v>407</v>
      </c>
      <c r="D166" s="25" t="s">
        <v>404</v>
      </c>
      <c r="E166" s="25"/>
      <c r="F166" s="25"/>
      <c r="G166" s="25"/>
      <c r="H166" s="25"/>
      <c r="I166" s="25"/>
      <c r="J166" s="25"/>
      <c r="K166" s="25"/>
      <c r="L166" s="25"/>
    </row>
    <row r="167" spans="1:17" ht="30.0">
      <c r="A167" s="233"/>
      <c r="B167" s="106" t="s">
        <v>411</v>
      </c>
      <c r="C167" s="25" t="s">
        <v>412</v>
      </c>
      <c r="D167" s="25" t="s">
        <v>404</v>
      </c>
      <c r="E167" s="25"/>
      <c r="F167" s="25"/>
      <c r="G167" s="25"/>
      <c r="H167" s="25"/>
      <c r="I167" s="25"/>
      <c r="J167" s="25"/>
      <c r="K167" s="25"/>
      <c r="L167" s="25"/>
    </row>
    <row r="168" spans="1:17" ht="30.0">
      <c r="A168" s="233"/>
      <c r="B168" s="106" t="s">
        <v>413</v>
      </c>
      <c r="C168" s="129" t="s">
        <v>408</v>
      </c>
      <c r="D168" s="129" t="s">
        <v>404</v>
      </c>
      <c r="E168" s="129"/>
      <c r="F168" s="25"/>
      <c r="G168" s="25"/>
      <c r="H168" s="25"/>
      <c r="I168" s="25"/>
      <c r="J168" s="25"/>
      <c r="K168" s="25"/>
      <c r="L168" s="25"/>
    </row>
    <row r="169" spans="1:17" ht="30.0">
      <c r="A169" s="233"/>
      <c r="B169" s="106" t="s">
        <v>414</v>
      </c>
      <c r="C169" s="25" t="s">
        <v>415</v>
      </c>
      <c r="D169" s="25" t="s">
        <v>416</v>
      </c>
      <c r="E169" s="25"/>
      <c r="F169" s="25"/>
      <c r="G169" s="25"/>
      <c r="H169" s="25"/>
      <c r="I169" s="25"/>
      <c r="J169" s="25"/>
      <c r="K169" s="25"/>
      <c r="L169" s="25"/>
    </row>
    <row r="170" spans="1:17" ht="30.0">
      <c r="A170" s="233"/>
      <c r="B170" s="106" t="s">
        <v>417</v>
      </c>
      <c r="C170" s="25" t="s">
        <v>415</v>
      </c>
      <c r="D170" s="25" t="s">
        <v>416</v>
      </c>
      <c r="E170" s="25"/>
      <c r="F170" s="25"/>
      <c r="G170" s="25"/>
      <c r="H170" s="25"/>
      <c r="I170" s="25"/>
      <c r="J170" s="25"/>
      <c r="K170" s="25"/>
      <c r="L170" s="25"/>
    </row>
    <row r="171" spans="1:17" ht="30.0">
      <c r="A171" s="233"/>
      <c r="B171" s="106" t="s">
        <v>418</v>
      </c>
      <c r="C171" s="25" t="s">
        <v>416</v>
      </c>
      <c r="D171" s="25" t="s">
        <v>419</v>
      </c>
      <c r="E171" s="25"/>
      <c r="F171" s="25"/>
      <c r="G171" s="25"/>
      <c r="H171" s="25"/>
      <c r="I171" s="25"/>
      <c r="J171" s="25"/>
      <c r="K171" s="25"/>
      <c r="L171" s="25"/>
    </row>
    <row r="172" spans="1:17">
      <c r="A172" s="233"/>
      <c r="B172" s="25" t="s">
        <v>420</v>
      </c>
      <c r="C172" s="25" t="s">
        <v>419</v>
      </c>
      <c r="D172" s="25" t="s">
        <v>416</v>
      </c>
      <c r="E172" s="25"/>
      <c r="F172" s="25"/>
      <c r="G172" s="25"/>
      <c r="H172" s="25"/>
      <c r="I172" s="25"/>
      <c r="J172" s="25"/>
      <c r="K172" s="25"/>
      <c r="L172" s="25"/>
    </row>
    <row r="173" spans="1:17" ht="30.0">
      <c r="A173" s="233"/>
      <c r="B173" s="25" t="s">
        <v>421</v>
      </c>
      <c r="C173" s="25" t="s">
        <v>422</v>
      </c>
      <c r="D173" s="106" t="s">
        <v>423</v>
      </c>
      <c r="E173" s="25"/>
      <c r="F173" s="25"/>
      <c r="G173" s="25"/>
      <c r="H173" s="25"/>
      <c r="I173" s="25"/>
      <c r="J173" s="25"/>
      <c r="K173" s="25"/>
      <c r="L173" s="25"/>
    </row>
    <row r="174" spans="1:17" ht="30.0">
      <c r="A174" s="233"/>
      <c r="B174" s="25" t="s">
        <v>424</v>
      </c>
      <c r="C174" s="25" t="s">
        <v>425</v>
      </c>
      <c r="D174" s="106" t="s">
        <v>423</v>
      </c>
      <c r="E174" s="25"/>
      <c r="F174" s="25"/>
      <c r="G174" s="25"/>
      <c r="H174" s="25"/>
      <c r="I174" s="25"/>
      <c r="J174" s="25"/>
      <c r="K174" s="25"/>
      <c r="L174" s="25"/>
    </row>
    <row r="175" spans="1:17" ht="30.0">
      <c r="A175" s="233"/>
      <c r="B175" s="25" t="s">
        <v>426</v>
      </c>
      <c r="C175" s="25" t="s">
        <v>427</v>
      </c>
      <c r="D175" s="106" t="s">
        <v>423</v>
      </c>
      <c r="E175" s="25"/>
      <c r="F175" s="25"/>
      <c r="G175" s="25"/>
      <c r="H175" s="25"/>
      <c r="I175" s="25"/>
      <c r="J175" s="25"/>
      <c r="K175" s="25"/>
      <c r="L175" s="25"/>
    </row>
    <row r="176" spans="1:17" ht="30.0">
      <c r="A176" s="227"/>
      <c r="B176" s="25" t="s">
        <v>428</v>
      </c>
      <c r="C176" s="106" t="s">
        <v>429</v>
      </c>
      <c r="D176" s="106" t="s">
        <v>423</v>
      </c>
      <c r="E176" s="25"/>
      <c r="F176" s="25"/>
      <c r="G176" s="25"/>
      <c r="H176" s="25"/>
      <c r="I176" s="25"/>
      <c r="J176" s="25"/>
      <c r="K176" s="25"/>
      <c r="L176" s="25"/>
    </row>
    <row r="177" spans="1:17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</row>
    <row r="178" spans="1:17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</row>
    <row r="179" spans="1:17">
      <c r="A179" s="25"/>
      <c r="B179" s="25" t="s">
        <v>430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</row>
    <row r="180" spans="1:17">
      <c r="A180" s="25"/>
      <c r="B180" s="108"/>
      <c r="C180" s="108"/>
      <c r="D180" s="25"/>
      <c r="E180" s="25"/>
      <c r="F180" s="25"/>
      <c r="G180" s="25"/>
      <c r="H180" s="25"/>
      <c r="I180" s="25"/>
      <c r="J180" s="25"/>
      <c r="K180" s="25"/>
      <c r="L180" s="25"/>
    </row>
    <row r="182" spans="1:17" ht="26.25">
      <c r="B182" s="134" t="s">
        <v>294</v>
      </c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4" spans="1:17">
      <c r="A184" s="62" t="s">
        <v>350</v>
      </c>
      <c r="B184" s="25" t="s">
        <v>296</v>
      </c>
      <c r="C184" s="25" t="s">
        <v>297</v>
      </c>
      <c r="D184" s="25" t="s">
        <v>298</v>
      </c>
      <c r="E184" s="25" t="s">
        <v>299</v>
      </c>
      <c r="F184" s="25" t="s">
        <v>300</v>
      </c>
      <c r="G184" s="25" t="s">
        <v>301</v>
      </c>
      <c r="H184" s="25" t="s">
        <v>302</v>
      </c>
      <c r="I184" s="25" t="s">
        <v>303</v>
      </c>
      <c r="J184" s="25" t="s">
        <v>304</v>
      </c>
      <c r="K184" s="25" t="s">
        <v>305</v>
      </c>
      <c r="L184" s="25" t="s">
        <v>306</v>
      </c>
      <c r="M184" s="25" t="s">
        <v>307</v>
      </c>
      <c r="N184" s="25" t="s">
        <v>308</v>
      </c>
      <c r="O184" s="25" t="s">
        <v>267</v>
      </c>
    </row>
    <row r="185" spans="1:17">
      <c r="A185" s="62"/>
      <c r="B185" s="25" t="s">
        <v>309</v>
      </c>
      <c r="C185" s="25">
        <f>+Investissements_Charges!B43*C186/100</f>
        <v>3200.0</v>
      </c>
      <c r="D185" s="27">
        <f>+D186/100*Investissements_Charges!B43</f>
        <v>3200.0</v>
      </c>
      <c r="E185" s="27">
        <f>E186/100*Investissements_Charges!B43</f>
        <v>1600.0</v>
      </c>
      <c r="F185" s="25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1:17">
      <c r="A186" s="62"/>
      <c r="B186" s="25" t="s">
        <v>431</v>
      </c>
      <c r="C186" s="25">
        <v>40.0</v>
      </c>
      <c r="D186" s="25">
        <v>40.0</v>
      </c>
      <c r="E186" s="25">
        <v>20.0</v>
      </c>
      <c r="F186" s="25">
        <f>SUM(C186:E186)</f>
        <v>100.0</v>
      </c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1:17">
      <c r="A187" s="62"/>
      <c r="B187" s="25" t="s">
        <v>311</v>
      </c>
      <c r="C187" s="27">
        <f>C188/100*Investissements_Charges!B44</f>
        <v>7210.0</v>
      </c>
      <c r="D187" s="27">
        <f>C187*1</f>
        <v>7210.0</v>
      </c>
      <c r="E187" s="27">
        <f>D187*1</f>
        <v>7210.0</v>
      </c>
      <c r="F187" s="27">
        <f>E187*1</f>
        <v>7210.0</v>
      </c>
      <c r="G187" s="27">
        <f>F187*1</f>
        <v>7210.0</v>
      </c>
      <c r="H187" s="27">
        <f>G187*1</f>
        <v>7210.0</v>
      </c>
      <c r="I187" s="27">
        <f>H187*1</f>
        <v>7210.0</v>
      </c>
      <c r="J187" s="27">
        <f>+I187*2</f>
        <v>14420.0</v>
      </c>
      <c r="K187" s="27">
        <f>+J187*1</f>
        <v>14420.0</v>
      </c>
      <c r="L187" s="27">
        <f>+K187*1</f>
        <v>14420.0</v>
      </c>
      <c r="M187" s="25">
        <f>+L187*2</f>
        <v>28840.0</v>
      </c>
      <c r="N187" s="25">
        <f>+I187*3</f>
        <v>21630.0</v>
      </c>
      <c r="O187" s="27">
        <f>SUM(C187:N187)</f>
        <v>144200.0</v>
      </c>
    </row>
    <row r="188" spans="1:17">
      <c r="A188" s="62"/>
      <c r="B188" s="25" t="s">
        <v>310</v>
      </c>
      <c r="C188" s="25">
        <v>5.0</v>
      </c>
      <c r="D188" s="25">
        <v>5.0</v>
      </c>
      <c r="E188" s="25">
        <v>5.0</v>
      </c>
      <c r="F188" s="25">
        <v>5.0</v>
      </c>
      <c r="G188" s="25">
        <v>5.0</v>
      </c>
      <c r="H188" s="25">
        <v>5.0</v>
      </c>
      <c r="I188" s="25">
        <v>5.0</v>
      </c>
      <c r="J188" s="25">
        <v>10.0</v>
      </c>
      <c r="K188" s="25">
        <v>10.0</v>
      </c>
      <c r="L188" s="25">
        <v>10.0</v>
      </c>
      <c r="M188" s="25">
        <v>20.0</v>
      </c>
      <c r="N188" s="25">
        <v>15.0</v>
      </c>
      <c r="O188" s="25">
        <f>SUM(C188:N188)</f>
        <v>100.0</v>
      </c>
    </row>
    <row r="189" spans="1:17">
      <c r="A189" s="123" t="s">
        <v>312</v>
      </c>
      <c r="B189" s="25" t="s">
        <v>313</v>
      </c>
      <c r="C189" s="108">
        <f>+C190/100*Investissements_Charges!B42</f>
        <v>4200.0</v>
      </c>
      <c r="D189" s="108">
        <f>C189*2</f>
        <v>8400.0</v>
      </c>
      <c r="E189" s="25">
        <f>+C189*3</f>
        <v>12600.0</v>
      </c>
      <c r="F189" s="25">
        <f>+C189*4</f>
        <v>16800.0</v>
      </c>
      <c r="G189" s="108">
        <f>C189*5</f>
        <v>21000.0</v>
      </c>
      <c r="H189" s="108">
        <f>G189*1</f>
        <v>21000.0</v>
      </c>
      <c r="I189" s="108">
        <f>H189*1</f>
        <v>21000.0</v>
      </c>
      <c r="J189" s="108">
        <f>I189*1</f>
        <v>21000.0</v>
      </c>
      <c r="K189" s="108">
        <f>J189*1</f>
        <v>21000.0</v>
      </c>
      <c r="L189" s="108">
        <f>K189*1</f>
        <v>21000.0</v>
      </c>
      <c r="M189" s="108">
        <f>L189*1</f>
        <v>21000.0</v>
      </c>
      <c r="N189" s="108">
        <f>M189*1</f>
        <v>21000.0</v>
      </c>
      <c r="O189" s="108">
        <f>SUM(C189:N189)</f>
        <v>210000.0</v>
      </c>
    </row>
    <row r="190" spans="1:17">
      <c r="A190" s="227"/>
      <c r="B190" s="25" t="s">
        <v>310</v>
      </c>
      <c r="C190" s="25">
        <v>2.0</v>
      </c>
      <c r="D190" s="25">
        <v>4.0</v>
      </c>
      <c r="E190" s="25">
        <v>6.0</v>
      </c>
      <c r="F190" s="25">
        <v>8.0</v>
      </c>
      <c r="G190" s="25">
        <v>10.0</v>
      </c>
      <c r="H190" s="25">
        <v>10.0</v>
      </c>
      <c r="I190" s="25">
        <v>10.0</v>
      </c>
      <c r="J190" s="25">
        <v>10.0</v>
      </c>
      <c r="K190" s="25">
        <v>10.0</v>
      </c>
      <c r="L190" s="25">
        <v>10.0</v>
      </c>
      <c r="M190" s="25">
        <v>10.0</v>
      </c>
      <c r="N190" s="25">
        <v>10.0</v>
      </c>
      <c r="O190" s="25">
        <f>SUM(C190:N190)</f>
        <v>100.0</v>
      </c>
    </row>
    <row r="191" spans="1:17">
      <c r="A191" s="25" t="s">
        <v>314</v>
      </c>
      <c r="B191" s="25"/>
      <c r="C191" s="27">
        <f>+C189-(C185+C187)</f>
        <v>-6210.0</v>
      </c>
      <c r="D191" s="27">
        <f>+D189-(D185+D187)</f>
        <v>-2010.0</v>
      </c>
      <c r="E191" s="27">
        <f>+E189-(E185+E187)</f>
        <v>3790.0</v>
      </c>
      <c r="F191" s="27">
        <f>+F189-(F185+F187)</f>
        <v>9590.0</v>
      </c>
      <c r="G191" s="27">
        <f>+G189-(G185+G187)</f>
        <v>13790.0</v>
      </c>
      <c r="H191" s="27">
        <f>+H189-(H185+H187)</f>
        <v>13790.0</v>
      </c>
      <c r="I191" s="27">
        <f>+I189-(I185+I187)</f>
        <v>13790.0</v>
      </c>
      <c r="J191" s="27">
        <f>+J189-(J185+J187)</f>
        <v>6580.0</v>
      </c>
      <c r="K191" s="27">
        <f>+K189-(K185+K187)</f>
        <v>6580.0</v>
      </c>
      <c r="L191" s="27">
        <f>+L189-(L185+L187)</f>
        <v>6580.0</v>
      </c>
      <c r="M191" s="27">
        <f>+M189-(M185+M187)</f>
        <v>-7840.0</v>
      </c>
      <c r="N191" s="27">
        <f>+N189-(N185+N187)</f>
        <v>-630.0</v>
      </c>
      <c r="O191" s="27">
        <f>SUM(C191:N191)</f>
        <v>57800.0</v>
      </c>
    </row>
    <row r="192" spans="1:17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52">
    <mergeCell ref="D151:G151"/>
    <mergeCell ref="D153:G153"/>
    <mergeCell ref="A15:B15"/>
    <mergeCell ref="A16:B16"/>
    <mergeCell ref="C20:H20"/>
    <mergeCell ref="A127:A131"/>
    <mergeCell ref="D138:G138"/>
    <mergeCell ref="D129:F129"/>
    <mergeCell ref="D132:F132"/>
    <mergeCell ref="A141:A144"/>
    <mergeCell ref="D127:F127"/>
    <mergeCell ref="D142:G142"/>
    <mergeCell ref="A135:A137"/>
    <mergeCell ref="D140:G140"/>
    <mergeCell ref="D136:G136"/>
    <mergeCell ref="A14:B14"/>
    <mergeCell ref="D125:F125"/>
    <mergeCell ref="A13:B13"/>
    <mergeCell ref="A12:B12"/>
    <mergeCell ref="A189:A190"/>
    <mergeCell ref="E162:E163"/>
    <mergeCell ref="A162:A163"/>
    <mergeCell ref="A145:A147"/>
    <mergeCell ref="A139:A140"/>
    <mergeCell ref="D147:G147"/>
    <mergeCell ref="D149:G149"/>
    <mergeCell ref="A184:A188"/>
    <mergeCell ref="A164:A176"/>
    <mergeCell ref="D150:G150"/>
    <mergeCell ref="F162:F163"/>
    <mergeCell ref="D152:G152"/>
    <mergeCell ref="A3:B3"/>
    <mergeCell ref="A4:B4"/>
    <mergeCell ref="A5:B5"/>
    <mergeCell ref="A6:B6"/>
    <mergeCell ref="A7:B7"/>
    <mergeCell ref="A8:B8"/>
    <mergeCell ref="A9:B9"/>
    <mergeCell ref="A10:B10"/>
    <mergeCell ref="F134:G134"/>
    <mergeCell ref="B162:B163"/>
    <mergeCell ref="D146:G146"/>
    <mergeCell ref="D145:G145"/>
    <mergeCell ref="D139:G139"/>
    <mergeCell ref="C162:C163"/>
    <mergeCell ref="D162:D163"/>
    <mergeCell ref="A156:G156"/>
    <mergeCell ref="G162:G163"/>
    <mergeCell ref="D137:G137"/>
    <mergeCell ref="D143:G143"/>
    <mergeCell ref="D141:G141"/>
    <mergeCell ref="A11:B11"/>
  </mergeCells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showGridLines="1" workbookViewId="0" topLeftCell="A1">
      <selection activeCell="A1" sqref="A1"/>
    </sheetView>
  </sheetViews>
  <sheetFormatPr defaultRowHeight="15"/>
  <cols>
    <col min="1" max="2" width="24.5703125" customWidth="1"/>
    <col min="3" max="7" width="15.28515625" customWidth="1"/>
  </cols>
  <sheetData>
    <row r="1" spans="1:7">
      <c r="A1" s="24" t="s">
        <v>432</v>
      </c>
    </row>
    <row r="4" spans="1:7" s="24" customFormat="1">
      <c r="A4" s="26" t="s">
        <v>433</v>
      </c>
      <c r="B4" s="26"/>
      <c r="C4" s="26" t="s">
        <v>434</v>
      </c>
      <c r="D4" s="26" t="s">
        <v>435</v>
      </c>
      <c r="E4" s="26" t="s">
        <v>436</v>
      </c>
      <c r="F4" s="26" t="s">
        <v>437</v>
      </c>
      <c r="G4" s="26" t="s">
        <v>438</v>
      </c>
    </row>
    <row r="5" spans="1:7">
      <c r="A5" s="25" t="s">
        <v>439</v>
      </c>
      <c r="B5" s="25" t="s">
        <v>440</v>
      </c>
      <c r="C5" s="25">
        <v>1.0</v>
      </c>
      <c r="D5" s="25">
        <v>1.0</v>
      </c>
      <c r="E5" s="25">
        <v>1.0</v>
      </c>
      <c r="F5" s="25">
        <v>1.0</v>
      </c>
      <c r="G5" s="25">
        <v>1.0</v>
      </c>
    </row>
    <row r="6" spans="1:7">
      <c r="A6" s="25"/>
      <c r="B6" s="25" t="s">
        <v>441</v>
      </c>
      <c r="C6" s="27">
        <v>200000.0</v>
      </c>
      <c r="D6" s="27">
        <v>200000.0</v>
      </c>
      <c r="E6" s="27">
        <v>200000.0</v>
      </c>
      <c r="F6" s="27">
        <v>200000.0</v>
      </c>
      <c r="G6" s="27">
        <v>200000.0</v>
      </c>
    </row>
    <row r="7" spans="1:7">
      <c r="A7" s="25"/>
      <c r="B7" s="25" t="s">
        <v>442</v>
      </c>
      <c r="C7" s="27">
        <f>+C5*C6</f>
        <v>200000.0</v>
      </c>
      <c r="D7" s="27">
        <f>+D5*D6</f>
        <v>200000.0</v>
      </c>
      <c r="E7" s="27">
        <f>+E5*E6</f>
        <v>200000.0</v>
      </c>
      <c r="F7" s="27">
        <f>+F5*F6</f>
        <v>200000.0</v>
      </c>
      <c r="G7" s="27">
        <f>+G5*G6</f>
        <v>200000.0</v>
      </c>
    </row>
    <row r="8" spans="1:7">
      <c r="A8" s="25" t="s">
        <v>443</v>
      </c>
      <c r="B8" s="25" t="s">
        <v>440</v>
      </c>
      <c r="C8" s="27">
        <v>1.0</v>
      </c>
      <c r="D8" s="27"/>
      <c r="E8" s="27"/>
      <c r="F8" s="27"/>
      <c r="G8" s="27"/>
    </row>
    <row r="9" spans="1:7">
      <c r="A9" s="25"/>
      <c r="B9" s="25" t="s">
        <v>441</v>
      </c>
      <c r="C9" s="27">
        <v>3000000.0</v>
      </c>
      <c r="D9" s="27"/>
      <c r="E9" s="27"/>
      <c r="F9" s="27"/>
      <c r="G9" s="27"/>
    </row>
    <row r="10" spans="1:7">
      <c r="A10" s="25"/>
      <c r="B10" s="25" t="s">
        <v>442</v>
      </c>
      <c r="C10" s="27">
        <f>+C8*C9</f>
        <v>3000000.0</v>
      </c>
      <c r="D10" s="27">
        <f>+C10*1.05</f>
        <v>3150000.0</v>
      </c>
      <c r="E10" s="27">
        <f>+D10*1.05</f>
        <v>3307500.0</v>
      </c>
      <c r="F10" s="27">
        <f>+E10*1.05</f>
        <v>3472875.0</v>
      </c>
      <c r="G10" s="27">
        <f>+F10*1.05</f>
        <v>3646518.75</v>
      </c>
    </row>
    <row r="11" spans="1:7">
      <c r="A11" s="25" t="s">
        <v>444</v>
      </c>
      <c r="B11" s="25" t="s">
        <v>440</v>
      </c>
      <c r="C11" s="27">
        <v>1.0</v>
      </c>
      <c r="D11" s="27"/>
      <c r="E11" s="27"/>
      <c r="F11" s="27"/>
      <c r="G11" s="27"/>
    </row>
    <row r="12" spans="1:7">
      <c r="A12" s="25"/>
      <c r="B12" s="25" t="s">
        <v>441</v>
      </c>
      <c r="C12" s="27">
        <v>400000.0</v>
      </c>
      <c r="D12" s="27"/>
      <c r="E12" s="27"/>
      <c r="F12" s="27"/>
      <c r="G12" s="27"/>
    </row>
    <row r="13" spans="1:7">
      <c r="A13" s="25"/>
      <c r="B13" s="25" t="s">
        <v>442</v>
      </c>
      <c r="C13" s="27">
        <f>+C11*C12</f>
        <v>400000.0</v>
      </c>
      <c r="D13" s="27">
        <f>+C13*1.05</f>
        <v>420000.0</v>
      </c>
      <c r="E13" s="27">
        <f>+D13*1.05</f>
        <v>441000.0</v>
      </c>
      <c r="F13" s="27">
        <f>+E13*1.05</f>
        <v>463050.0</v>
      </c>
      <c r="G13" s="27">
        <f>+F13*1.05</f>
        <v>486202.5</v>
      </c>
    </row>
    <row r="14" spans="1:7">
      <c r="A14" s="25" t="s">
        <v>445</v>
      </c>
      <c r="B14" s="25" t="s">
        <v>440</v>
      </c>
      <c r="C14" s="27">
        <v>1.0</v>
      </c>
      <c r="D14" s="27"/>
      <c r="E14" s="27"/>
      <c r="F14" s="27"/>
      <c r="G14" s="27"/>
    </row>
    <row r="15" spans="1:7">
      <c r="A15" s="25"/>
      <c r="B15" s="25" t="s">
        <v>441</v>
      </c>
      <c r="C15" s="27">
        <v>240000.0</v>
      </c>
      <c r="D15" s="27"/>
      <c r="E15" s="27"/>
      <c r="F15" s="27"/>
      <c r="G15" s="27"/>
    </row>
    <row r="16" spans="1:7">
      <c r="A16" s="25"/>
      <c r="B16" s="25" t="s">
        <v>442</v>
      </c>
      <c r="C16" s="27">
        <f>+C14*C15</f>
        <v>240000.0</v>
      </c>
      <c r="D16" s="27">
        <f>+C16</f>
        <v>240000.0</v>
      </c>
      <c r="E16" s="27">
        <f>+D16</f>
        <v>240000.0</v>
      </c>
      <c r="F16" s="27">
        <f>+E16</f>
        <v>240000.0</v>
      </c>
      <c r="G16" s="27">
        <f>+F16</f>
        <v>240000.0</v>
      </c>
    </row>
    <row r="17" spans="1:7">
      <c r="A17" s="25" t="s">
        <v>446</v>
      </c>
      <c r="B17" s="25" t="s">
        <v>447</v>
      </c>
      <c r="C17" s="27">
        <v>6.0</v>
      </c>
      <c r="D17" s="27"/>
      <c r="E17" s="27"/>
      <c r="F17" s="27"/>
      <c r="G17" s="27"/>
    </row>
    <row r="18" spans="1:7">
      <c r="A18" s="25"/>
      <c r="B18" s="25" t="s">
        <v>448</v>
      </c>
      <c r="C18" s="27">
        <v>60000.0</v>
      </c>
      <c r="D18" s="27"/>
      <c r="E18" s="27"/>
      <c r="F18" s="27"/>
      <c r="G18" s="27"/>
    </row>
    <row r="19" spans="1:7">
      <c r="A19" s="25"/>
      <c r="B19" s="25" t="s">
        <v>442</v>
      </c>
      <c r="C19" s="27">
        <f>+C17*C18</f>
        <v>360000.0</v>
      </c>
      <c r="D19" s="27">
        <f>+C19*1.1</f>
        <v>396000.00000000006</v>
      </c>
      <c r="E19" s="27">
        <f>+D19*1.1</f>
        <v>435600.0000000001</v>
      </c>
      <c r="F19" s="27">
        <f>+E19*1.1</f>
        <v>479160.0000000002</v>
      </c>
      <c r="G19" s="27">
        <f>+F19*1.1</f>
        <v>527076.0000000002</v>
      </c>
    </row>
    <row r="20" spans="1:7">
      <c r="A20" s="25" t="s">
        <v>449</v>
      </c>
      <c r="B20" s="25" t="s">
        <v>440</v>
      </c>
      <c r="C20" s="27">
        <v>1.0</v>
      </c>
      <c r="D20" s="27"/>
      <c r="E20" s="27"/>
      <c r="F20" s="27"/>
      <c r="G20" s="27"/>
    </row>
    <row r="21" spans="1:7">
      <c r="A21" s="25"/>
      <c r="B21" s="25" t="s">
        <v>441</v>
      </c>
      <c r="C21" s="27">
        <v>100000.0</v>
      </c>
      <c r="D21" s="27"/>
      <c r="E21" s="27"/>
      <c r="F21" s="27"/>
      <c r="G21" s="27"/>
    </row>
    <row r="22" spans="1:7">
      <c r="A22" s="25"/>
      <c r="B22" s="25" t="s">
        <v>442</v>
      </c>
      <c r="C22" s="27">
        <f>+C20*C21</f>
        <v>100000.0</v>
      </c>
      <c r="D22" s="27">
        <f>+C22*1.1</f>
        <v>110000.00000000001</v>
      </c>
      <c r="E22" s="27">
        <f>+D22*1.1</f>
        <v>121000.00000000003</v>
      </c>
      <c r="F22" s="27">
        <f>+E22*1.1</f>
        <v>133100.00000000003</v>
      </c>
      <c r="G22" s="27">
        <f>+F22*1.1</f>
        <v>146410.00000000006</v>
      </c>
    </row>
    <row r="23" spans="1:7">
      <c r="A23" s="25" t="s">
        <v>450</v>
      </c>
      <c r="B23" s="25" t="s">
        <v>447</v>
      </c>
      <c r="C23" s="27">
        <v>7.0</v>
      </c>
      <c r="D23" s="27"/>
      <c r="E23" s="27"/>
      <c r="F23" s="27"/>
      <c r="G23" s="27"/>
    </row>
    <row r="24" spans="1:7">
      <c r="A24" s="25"/>
      <c r="B24" s="25" t="s">
        <v>441</v>
      </c>
      <c r="C24" s="27">
        <v>50000.0</v>
      </c>
      <c r="D24" s="27"/>
      <c r="E24" s="27"/>
      <c r="F24" s="27"/>
      <c r="G24" s="27"/>
    </row>
    <row r="25" spans="1:7">
      <c r="A25" s="25"/>
      <c r="B25" s="25" t="s">
        <v>442</v>
      </c>
      <c r="C25" s="27">
        <f>+C23*C24</f>
        <v>350000.0</v>
      </c>
      <c r="D25" s="27">
        <f>+C25*1.05</f>
        <v>367500.0</v>
      </c>
      <c r="E25" s="27">
        <f>+D25*1.05</f>
        <v>385875.0</v>
      </c>
      <c r="F25" s="27">
        <f>+E25*1.05</f>
        <v>405168.75</v>
      </c>
      <c r="G25" s="27">
        <f>+F25*1.05</f>
        <v>425427.1875</v>
      </c>
    </row>
    <row r="26" spans="1:7">
      <c r="A26" s="25" t="s">
        <v>451</v>
      </c>
      <c r="B26" s="25" t="s">
        <v>447</v>
      </c>
      <c r="C26" s="27">
        <v>6.0</v>
      </c>
      <c r="D26" s="27"/>
      <c r="E26" s="27"/>
      <c r="F26" s="27"/>
      <c r="G26" s="27"/>
    </row>
    <row r="27" spans="1:7">
      <c r="A27" s="25"/>
      <c r="B27" s="25" t="s">
        <v>441</v>
      </c>
      <c r="C27" s="27">
        <v>20000.0</v>
      </c>
      <c r="D27" s="27"/>
      <c r="E27" s="27"/>
      <c r="F27" s="27"/>
      <c r="G27" s="27"/>
    </row>
    <row r="28" spans="1:7">
      <c r="A28" s="25"/>
      <c r="B28" s="25" t="s">
        <v>442</v>
      </c>
      <c r="C28" s="27">
        <f>+C26*C27</f>
        <v>120000.0</v>
      </c>
      <c r="D28" s="27">
        <f>+C28</f>
        <v>120000.0</v>
      </c>
      <c r="E28" s="27">
        <f>+D28</f>
        <v>120000.0</v>
      </c>
      <c r="F28" s="27">
        <f>+E28</f>
        <v>120000.0</v>
      </c>
      <c r="G28" s="27">
        <f>+F28</f>
        <v>120000.0</v>
      </c>
    </row>
    <row r="29" spans="1:7" s="24" customFormat="1">
      <c r="A29" s="26" t="s">
        <v>452</v>
      </c>
      <c r="B29" s="26"/>
      <c r="C29" s="29">
        <f>+C7+C10+C13+C16+C19+C22+C25+C28</f>
        <v>4770000.0</v>
      </c>
      <c r="D29" s="29">
        <f>+D7+D10+D13+D16+D19+D22+D25+D28</f>
        <v>5003500.0</v>
      </c>
      <c r="E29" s="29">
        <f>+E7+E10+E13+E16+E19+E22+E25+E28</f>
        <v>5250975.0</v>
      </c>
      <c r="F29" s="29">
        <f>+F7+F10+F13+F16+F19+F22+F25+F28</f>
        <v>5513353.75</v>
      </c>
      <c r="G29" s="29">
        <f>+G7+G10+G13+G16+G19+G22+G25+G28</f>
        <v>5791634.4375</v>
      </c>
    </row>
    <row r="30" spans="1:7" s="24" customFormat="1">
      <c r="A30" s="26" t="s">
        <v>453</v>
      </c>
      <c r="B30" s="26"/>
      <c r="C30" s="29">
        <f>+C29*12</f>
        <v>5.724E7</v>
      </c>
      <c r="D30" s="29">
        <f>+D29*12</f>
        <v>6.0042E7</v>
      </c>
      <c r="E30" s="29">
        <f>+E29*12</f>
        <v>6.30117E7</v>
      </c>
      <c r="F30" s="29">
        <f>+F29*12</f>
        <v>6.6160245E7</v>
      </c>
      <c r="G30" s="29">
        <f>+G29*12</f>
        <v>6.949961325E7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3"/>
  <sheetViews>
    <sheetView showGridLines="1" workbookViewId="0" topLeftCell="A19">
      <selection activeCell="A1" sqref="A1"/>
    </sheetView>
  </sheetViews>
  <sheetFormatPr defaultRowHeight="15"/>
  <cols>
    <col min="1" max="1" width="20.0" customWidth="1"/>
    <col min="2" max="2" width="15.28515625" customWidth="1"/>
    <col min="3" max="3" width="12.85546875" customWidth="1"/>
    <col min="4" max="4" width="14.85546875" customWidth="1"/>
    <col min="5" max="5" width="14.140625" customWidth="1"/>
    <col min="6" max="6" width="17.28515625" customWidth="1"/>
    <col min="7" max="7" width="13.140625" customWidth="1"/>
    <col min="8" max="8" width="17.5703125" customWidth="1"/>
    <col min="9" max="9" width="12.85546875" customWidth="1"/>
    <col min="10" max="10" width="15.42578125" customWidth="1"/>
    <col min="11" max="11" width="13.85546875" customWidth="1"/>
    <col min="12" max="12" width="16.28515625" customWidth="1"/>
  </cols>
  <sheetData>
    <row r="1" spans="1:12">
      <c r="A1" s="33" t="s">
        <v>454</v>
      </c>
      <c r="B1" s="24" t="s">
        <v>455</v>
      </c>
    </row>
    <row r="3" spans="1:12">
      <c r="A3" s="24"/>
      <c r="B3" s="24" t="s">
        <v>456</v>
      </c>
    </row>
    <row r="5" spans="1:12">
      <c r="A5" s="252" t="s">
        <v>234</v>
      </c>
      <c r="B5" s="253" t="s">
        <v>457</v>
      </c>
      <c r="C5" s="250" t="s">
        <v>259</v>
      </c>
      <c r="D5" s="251"/>
      <c r="E5" s="250" t="s">
        <v>260</v>
      </c>
      <c r="F5" s="251"/>
      <c r="G5" s="250" t="s">
        <v>261</v>
      </c>
      <c r="H5" s="251"/>
      <c r="I5" s="250" t="s">
        <v>262</v>
      </c>
      <c r="J5" s="251"/>
      <c r="K5" s="250" t="s">
        <v>458</v>
      </c>
      <c r="L5" s="251"/>
    </row>
    <row r="6" spans="1:12">
      <c r="A6" s="252"/>
      <c r="B6" s="105"/>
      <c r="C6" s="95" t="s">
        <v>459</v>
      </c>
      <c r="D6" s="96" t="s">
        <v>460</v>
      </c>
      <c r="E6" s="95" t="s">
        <v>459</v>
      </c>
      <c r="F6" s="96" t="s">
        <v>460</v>
      </c>
      <c r="G6" s="95" t="s">
        <v>459</v>
      </c>
      <c r="H6" s="96" t="s">
        <v>460</v>
      </c>
      <c r="I6" s="95" t="s">
        <v>459</v>
      </c>
      <c r="J6" s="96" t="s">
        <v>460</v>
      </c>
      <c r="K6" s="95" t="s">
        <v>459</v>
      </c>
      <c r="L6" s="96" t="s">
        <v>460</v>
      </c>
    </row>
    <row r="7" spans="1:12" ht="25.5">
      <c r="A7" s="104" t="s">
        <v>461</v>
      </c>
      <c r="B7" s="105">
        <f>120000.0/4000</f>
        <v>30.0</v>
      </c>
      <c r="C7" s="95">
        <v>4200.0</v>
      </c>
      <c r="D7" s="95">
        <f>+B7*C7</f>
        <v>126000.0</v>
      </c>
      <c r="E7" s="95">
        <f>C7*1.05</f>
        <v>4410.0</v>
      </c>
      <c r="F7" s="95">
        <f>+B7*E7</f>
        <v>132300.0</v>
      </c>
      <c r="G7" s="95">
        <f>E7*1.05</f>
        <v>4630.5</v>
      </c>
      <c r="H7" s="95">
        <f>G7*B7</f>
        <v>138915.0</v>
      </c>
      <c r="I7" s="95">
        <f>G7*1.05</f>
        <v>4862.025000000001</v>
      </c>
      <c r="J7" s="96">
        <f>+I7*B7</f>
        <v>145860.75000000003</v>
      </c>
      <c r="K7" s="95">
        <f>+I7*1.05</f>
        <v>5105.126250000001</v>
      </c>
      <c r="L7" s="95">
        <f>J7*1.05</f>
        <v>153153.78750000003</v>
      </c>
    </row>
    <row r="8" spans="1:12" ht="25.5">
      <c r="A8" s="104" t="s">
        <v>462</v>
      </c>
      <c r="B8" s="105">
        <v>0.0</v>
      </c>
      <c r="C8" s="95">
        <f>2*3.5*(Investissements_Charges!C12+Investissements_Charges!C13)</f>
        <v>0.0</v>
      </c>
      <c r="D8" s="95">
        <f>+B8*C8</f>
        <v>0.0</v>
      </c>
      <c r="E8" s="95">
        <f>C8*1.05</f>
        <v>0.0</v>
      </c>
      <c r="F8" s="95">
        <f>1.05*D8</f>
        <v>0.0</v>
      </c>
      <c r="G8" s="95">
        <f>E8*1.05</f>
        <v>0.0</v>
      </c>
      <c r="H8" s="95">
        <f>+B8*G8</f>
        <v>0.0</v>
      </c>
      <c r="I8" s="95">
        <f>G8*1.05</f>
        <v>0.0</v>
      </c>
      <c r="J8" s="95">
        <f>H8*1.05</f>
        <v>0.0</v>
      </c>
      <c r="K8" s="95">
        <f>1.05*I8</f>
        <v>0.0</v>
      </c>
      <c r="L8" s="95">
        <f>J8*1.05</f>
        <v>0.0</v>
      </c>
    </row>
    <row r="9" spans="1:12" ht="25.5">
      <c r="A9" s="104" t="s">
        <v>463</v>
      </c>
      <c r="B9" s="107">
        <v>0.0</v>
      </c>
      <c r="C9" s="95">
        <f>2*2.5*(Investissements_Charges!C10+Investissements_Charges!C11)</f>
        <v>0.0</v>
      </c>
      <c r="D9" s="95">
        <f>+B9*C9</f>
        <v>0.0</v>
      </c>
      <c r="E9" s="95">
        <f>C9*1.05</f>
        <v>0.0</v>
      </c>
      <c r="F9" s="95">
        <f>1.05*D9</f>
        <v>0.0</v>
      </c>
      <c r="G9" s="95">
        <f>E9*1.05</f>
        <v>0.0</v>
      </c>
      <c r="H9" s="95">
        <f>+B9*G9</f>
        <v>0.0</v>
      </c>
      <c r="I9" s="95">
        <f>G9*1.05</f>
        <v>0.0</v>
      </c>
      <c r="J9" s="95">
        <f>H9*1.05</f>
        <v>0.0</v>
      </c>
      <c r="K9" s="95">
        <f>1.05*I9</f>
        <v>0.0</v>
      </c>
      <c r="L9" s="95">
        <f>J9*1.05</f>
        <v>0.0</v>
      </c>
    </row>
    <row r="10" spans="1:12" ht="25.5">
      <c r="A10" s="104" t="s">
        <v>464</v>
      </c>
      <c r="B10" s="107">
        <v>0.0</v>
      </c>
      <c r="C10" s="95">
        <f>1.8*'Chiffre d''affaires'!C10</f>
        <v>0.0</v>
      </c>
      <c r="D10" s="95">
        <f>+B10*C10</f>
        <v>0.0</v>
      </c>
      <c r="E10" s="95">
        <f>C10*1.05</f>
        <v>0.0</v>
      </c>
      <c r="F10" s="95">
        <f>1.05*D10</f>
        <v>0.0</v>
      </c>
      <c r="G10" s="95">
        <f>E10*1.05</f>
        <v>0.0</v>
      </c>
      <c r="H10" s="95">
        <f>+B10*G10</f>
        <v>0.0</v>
      </c>
      <c r="I10" s="95">
        <f>G10*1.05</f>
        <v>0.0</v>
      </c>
      <c r="J10" s="95">
        <f>H10*1.05</f>
        <v>0.0</v>
      </c>
      <c r="K10" s="95">
        <f>1.05*I10</f>
        <v>0.0</v>
      </c>
      <c r="L10" s="95">
        <f>J10*1.05</f>
        <v>0.0</v>
      </c>
    </row>
    <row r="11" spans="1:12" ht="25.5">
      <c r="A11" s="104" t="s">
        <v>465</v>
      </c>
      <c r="B11" s="105">
        <v>0.0</v>
      </c>
      <c r="C11" s="95">
        <v>0.0</v>
      </c>
      <c r="D11" s="95">
        <f>B11*C11</f>
        <v>0.0</v>
      </c>
      <c r="E11" s="95">
        <f>C11*1.05</f>
        <v>0.0</v>
      </c>
      <c r="F11" s="95">
        <f>1.05*D11</f>
        <v>0.0</v>
      </c>
      <c r="G11" s="95">
        <f>E11*1.05</f>
        <v>0.0</v>
      </c>
      <c r="H11" s="95">
        <f>+B11*G11</f>
        <v>0.0</v>
      </c>
      <c r="I11" s="95">
        <f>G11*1.05</f>
        <v>0.0</v>
      </c>
      <c r="J11" s="95">
        <f>H11*1.05</f>
        <v>0.0</v>
      </c>
      <c r="K11" s="95">
        <f>1.05*I11</f>
        <v>0.0</v>
      </c>
      <c r="L11" s="95">
        <f>J11*1.05</f>
        <v>0.0</v>
      </c>
    </row>
    <row r="12" spans="1:12">
      <c r="A12" s="104" t="s">
        <v>466</v>
      </c>
      <c r="B12" s="107">
        <f>1000000.0/4000</f>
        <v>250.0</v>
      </c>
      <c r="C12" s="95">
        <v>12.0</v>
      </c>
      <c r="D12" s="95">
        <f>B12*C12</f>
        <v>3000.0</v>
      </c>
      <c r="E12" s="95">
        <v>12.0</v>
      </c>
      <c r="F12" s="95">
        <f>1.05*D12</f>
        <v>3150.0</v>
      </c>
      <c r="G12" s="95">
        <v>12.0</v>
      </c>
      <c r="H12" s="95">
        <f>+F12*1.05</f>
        <v>3307.5</v>
      </c>
      <c r="I12" s="95">
        <v>12.0</v>
      </c>
      <c r="J12" s="95">
        <f>H12*1.05</f>
        <v>3472.875</v>
      </c>
      <c r="K12" s="95">
        <v>12.0</v>
      </c>
      <c r="L12" s="95">
        <f>J12*1.05</f>
        <v>3646.51875</v>
      </c>
    </row>
    <row r="13" spans="1:12" s="24" customFormat="1">
      <c r="A13" s="97" t="s">
        <v>467</v>
      </c>
      <c r="B13" s="98"/>
      <c r="C13" s="99"/>
      <c r="D13" s="100">
        <f>SUM(D7:D12)</f>
        <v>129000.0</v>
      </c>
      <c r="E13" s="99"/>
      <c r="F13" s="100">
        <f>SUM(F7:F12)</f>
        <v>135450.0</v>
      </c>
      <c r="G13" s="99"/>
      <c r="H13" s="100">
        <f>SUM(H7:H12)</f>
        <v>142222.5</v>
      </c>
      <c r="I13" s="99"/>
      <c r="J13" s="101">
        <f>SUM(J7:J12)</f>
        <v>149333.62500000003</v>
      </c>
      <c r="K13" s="99"/>
      <c r="L13" s="101">
        <f>SUM(L7:L12)</f>
        <v>156800.30625000002</v>
      </c>
    </row>
    <row r="15" spans="1:12">
      <c r="B15" s="24" t="s">
        <v>265</v>
      </c>
    </row>
    <row r="17" spans="1:12" ht="15.0" customHeight="1">
      <c r="A17" s="66" t="s">
        <v>234</v>
      </c>
      <c r="B17" s="192" t="s">
        <v>235</v>
      </c>
      <c r="C17" s="110" t="s">
        <v>259</v>
      </c>
      <c r="D17" s="249"/>
      <c r="E17" s="110" t="s">
        <v>260</v>
      </c>
      <c r="F17" s="249"/>
      <c r="G17" s="110" t="s">
        <v>261</v>
      </c>
      <c r="H17" s="249"/>
      <c r="I17" s="110" t="s">
        <v>262</v>
      </c>
      <c r="J17" s="249"/>
      <c r="K17" s="110" t="s">
        <v>458</v>
      </c>
      <c r="L17" s="249"/>
    </row>
    <row r="18" spans="1:12">
      <c r="A18" s="66"/>
      <c r="B18" s="193"/>
      <c r="C18" s="57" t="s">
        <v>468</v>
      </c>
      <c r="D18" s="58" t="s">
        <v>460</v>
      </c>
      <c r="E18" s="57" t="s">
        <v>459</v>
      </c>
      <c r="F18" s="58" t="s">
        <v>460</v>
      </c>
      <c r="G18" s="57" t="s">
        <v>459</v>
      </c>
      <c r="H18" s="58" t="s">
        <v>460</v>
      </c>
      <c r="I18" s="57" t="s">
        <v>459</v>
      </c>
      <c r="J18" s="58" t="s">
        <v>460</v>
      </c>
      <c r="K18" s="57" t="s">
        <v>459</v>
      </c>
      <c r="L18" s="58" t="s">
        <v>460</v>
      </c>
    </row>
    <row r="19" spans="1:12" ht="45.0">
      <c r="A19" s="112" t="s">
        <v>469</v>
      </c>
      <c r="B19" s="141">
        <v>0.0</v>
      </c>
      <c r="C19" s="57">
        <v>300.0</v>
      </c>
      <c r="D19" s="57">
        <f>B19*C19</f>
        <v>0.0</v>
      </c>
      <c r="E19" s="57">
        <v>300.0</v>
      </c>
      <c r="F19" s="57">
        <f>D19*1.05</f>
        <v>0.0</v>
      </c>
      <c r="G19" s="57">
        <v>300.0</v>
      </c>
      <c r="H19" s="57">
        <f>F19*1.05</f>
        <v>0.0</v>
      </c>
      <c r="I19" s="57">
        <v>300.0</v>
      </c>
      <c r="J19" s="57">
        <f>H19*1.05</f>
        <v>0.0</v>
      </c>
      <c r="K19" s="57">
        <v>300.0</v>
      </c>
      <c r="L19" s="57">
        <f>J19*1.05</f>
        <v>0.0</v>
      </c>
    </row>
    <row r="20" spans="1:12" ht="30.0">
      <c r="A20" s="112" t="s">
        <v>470</v>
      </c>
      <c r="B20" s="141">
        <f>300000.0/4000</f>
        <v>75.0</v>
      </c>
      <c r="C20" s="57">
        <v>12.0</v>
      </c>
      <c r="D20" s="57">
        <f>B20*C20</f>
        <v>900.0</v>
      </c>
      <c r="E20" s="57">
        <v>12.0</v>
      </c>
      <c r="F20" s="57">
        <f>D20*1.05</f>
        <v>945.0</v>
      </c>
      <c r="G20" s="57">
        <v>12.0</v>
      </c>
      <c r="H20" s="57">
        <f>F20*1.05</f>
        <v>992.25</v>
      </c>
      <c r="I20" s="57">
        <v>12.0</v>
      </c>
      <c r="J20" s="57">
        <f>H20*1.05</f>
        <v>1041.8625</v>
      </c>
      <c r="K20" s="57">
        <v>12.0</v>
      </c>
      <c r="L20" s="57">
        <f>J20*1.05</f>
        <v>1093.955625</v>
      </c>
    </row>
    <row r="21" spans="1:12">
      <c r="A21" s="25" t="s">
        <v>471</v>
      </c>
      <c r="B21" s="79">
        <v>0.0</v>
      </c>
      <c r="C21" s="77">
        <v>24.0</v>
      </c>
      <c r="D21" s="78">
        <f>(B21*C21)</f>
        <v>0.0</v>
      </c>
      <c r="E21" s="77">
        <v>24.0</v>
      </c>
      <c r="F21" s="27">
        <f>+D21*1.05</f>
        <v>0.0</v>
      </c>
      <c r="G21" s="77">
        <v>24.0</v>
      </c>
      <c r="H21" s="27">
        <f>(F21*1.01)</f>
        <v>0.0</v>
      </c>
      <c r="I21" s="77">
        <v>24.0</v>
      </c>
      <c r="J21" s="27">
        <f>(H21*1.1)</f>
        <v>0.0</v>
      </c>
      <c r="K21" s="77">
        <v>24.0</v>
      </c>
      <c r="L21" s="27">
        <f>(J21*1.1)</f>
        <v>0.0</v>
      </c>
    </row>
    <row r="22" spans="1:12">
      <c r="A22" s="25" t="s">
        <v>472</v>
      </c>
      <c r="B22" s="78">
        <f>800000.0/4000</f>
        <v>200.0</v>
      </c>
      <c r="C22" s="77">
        <v>36.0</v>
      </c>
      <c r="D22" s="78">
        <f>(B22*C22)</f>
        <v>7200.0</v>
      </c>
      <c r="E22" s="77">
        <v>36.0</v>
      </c>
      <c r="F22" s="27">
        <f>(B22*C22)</f>
        <v>7200.0</v>
      </c>
      <c r="G22" s="77">
        <v>36.0</v>
      </c>
      <c r="H22" s="27">
        <f>(F22*1.01)</f>
        <v>7272.0</v>
      </c>
      <c r="I22" s="77">
        <v>36.0</v>
      </c>
      <c r="J22" s="27">
        <f>(H22*1.1)</f>
        <v>7999.200000000001</v>
      </c>
      <c r="K22" s="77">
        <v>36.0</v>
      </c>
      <c r="L22" s="27">
        <f>(J22*1.1)</f>
        <v>8799.12</v>
      </c>
    </row>
    <row r="23" spans="1:12" s="24" customFormat="1">
      <c r="A23" s="26" t="s">
        <v>473</v>
      </c>
      <c r="B23" s="68"/>
      <c r="C23" s="70"/>
      <c r="D23" s="80">
        <f>SUM(D19:D22)</f>
        <v>8100.0</v>
      </c>
      <c r="E23" s="70"/>
      <c r="F23" s="71">
        <f>SUM(F19:F22)</f>
        <v>8145.0</v>
      </c>
      <c r="G23" s="70"/>
      <c r="H23" s="71">
        <f>SUM(H19:H22)</f>
        <v>8264.25</v>
      </c>
      <c r="I23" s="70"/>
      <c r="J23" s="69">
        <f>SUM(J19:J22)</f>
        <v>9041.0625</v>
      </c>
      <c r="K23" s="70"/>
      <c r="L23" s="69">
        <f>SUM(L19:L22)</f>
        <v>9893.075625000001</v>
      </c>
    </row>
    <row r="25" spans="1:12">
      <c r="B25" s="24" t="s">
        <v>266</v>
      </c>
    </row>
    <row r="26" spans="1:12">
      <c r="B26" s="24"/>
    </row>
    <row r="27" spans="1:12" ht="15.0" customHeight="1">
      <c r="A27" s="66" t="s">
        <v>234</v>
      </c>
      <c r="B27" s="192" t="s">
        <v>457</v>
      </c>
      <c r="C27" s="110" t="s">
        <v>259</v>
      </c>
      <c r="D27" s="249"/>
      <c r="E27" s="110" t="s">
        <v>260</v>
      </c>
      <c r="F27" s="249"/>
      <c r="G27" s="110" t="s">
        <v>261</v>
      </c>
      <c r="H27" s="249"/>
      <c r="I27" s="110" t="s">
        <v>262</v>
      </c>
      <c r="J27" s="249"/>
      <c r="K27" s="110" t="s">
        <v>458</v>
      </c>
      <c r="L27" s="249"/>
    </row>
    <row r="28" spans="1:12">
      <c r="A28" s="66"/>
      <c r="B28" s="193"/>
      <c r="C28" s="57" t="s">
        <v>459</v>
      </c>
      <c r="D28" s="58" t="s">
        <v>460</v>
      </c>
      <c r="E28" s="57" t="s">
        <v>459</v>
      </c>
      <c r="F28" s="58" t="s">
        <v>460</v>
      </c>
      <c r="G28" s="57" t="s">
        <v>459</v>
      </c>
      <c r="H28" s="58" t="s">
        <v>460</v>
      </c>
      <c r="I28" s="57" t="s">
        <v>459</v>
      </c>
      <c r="J28" s="58" t="s">
        <v>460</v>
      </c>
      <c r="K28" s="57" t="s">
        <v>459</v>
      </c>
      <c r="L28" s="58" t="s">
        <v>460</v>
      </c>
    </row>
    <row r="29" spans="1:12">
      <c r="A29" s="25" t="s">
        <v>474</v>
      </c>
      <c r="B29" s="79">
        <f>1200000.0/4000</f>
        <v>300.0</v>
      </c>
      <c r="C29" s="77">
        <v>1.0</v>
      </c>
      <c r="D29" s="78">
        <f>(+C29*B29)</f>
        <v>300.0</v>
      </c>
      <c r="E29" s="76">
        <v>1.0</v>
      </c>
      <c r="F29" s="27">
        <f>(1*D29)</f>
        <v>300.0</v>
      </c>
      <c r="G29" s="76">
        <v>1.0</v>
      </c>
      <c r="H29" s="27">
        <f>(D29*1.01)</f>
        <v>303.0</v>
      </c>
      <c r="I29" s="76">
        <v>1.0</v>
      </c>
      <c r="J29" s="27">
        <f>(H29*1.01)</f>
        <v>306.03000000000003</v>
      </c>
      <c r="K29" s="76">
        <v>1.0</v>
      </c>
      <c r="L29" s="27">
        <f>(J29*1.01)</f>
        <v>309.0903</v>
      </c>
    </row>
    <row r="30" spans="1:12">
      <c r="A30" s="25" t="s">
        <v>475</v>
      </c>
      <c r="B30" s="78">
        <v>0.0</v>
      </c>
      <c r="C30" s="77">
        <v>1.0</v>
      </c>
      <c r="D30" s="78">
        <f>(B30*C30)</f>
        <v>0.0</v>
      </c>
      <c r="E30" s="76">
        <v>1.0</v>
      </c>
      <c r="F30" s="27">
        <f>(D30*1.05)</f>
        <v>0.0</v>
      </c>
      <c r="G30" s="76">
        <v>1.0</v>
      </c>
      <c r="H30" s="27">
        <f>(F30*1.05)</f>
        <v>0.0</v>
      </c>
      <c r="I30" s="76">
        <v>1.0</v>
      </c>
      <c r="J30" s="27">
        <f>(H30*1.05)</f>
        <v>0.0</v>
      </c>
      <c r="K30" s="76">
        <v>1.0</v>
      </c>
      <c r="L30" s="27">
        <f>(J30*1.05)</f>
        <v>0.0</v>
      </c>
    </row>
    <row r="31" spans="1:12">
      <c r="A31" s="25" t="s">
        <v>476</v>
      </c>
      <c r="B31" s="78">
        <v>0.0</v>
      </c>
      <c r="C31" s="77">
        <v>1.0</v>
      </c>
      <c r="D31" s="78">
        <f>(B31*C31)</f>
        <v>0.0</v>
      </c>
      <c r="E31" s="76">
        <v>1.0</v>
      </c>
      <c r="F31" s="27">
        <f>(D31*1.05)</f>
        <v>0.0</v>
      </c>
      <c r="G31" s="76">
        <v>1.0</v>
      </c>
      <c r="H31" s="27">
        <f>(1.05*F31)</f>
        <v>0.0</v>
      </c>
      <c r="I31" s="76">
        <v>1.0</v>
      </c>
      <c r="J31" s="27">
        <f>(1.05*H31)</f>
        <v>0.0</v>
      </c>
      <c r="K31" s="76">
        <v>1.0</v>
      </c>
      <c r="L31" s="27">
        <f>(1.05*J31)</f>
        <v>0.0</v>
      </c>
    </row>
    <row r="32" spans="1:12">
      <c r="A32" s="25" t="s">
        <v>477</v>
      </c>
      <c r="B32" s="78">
        <v>0.0</v>
      </c>
      <c r="C32" s="77">
        <v>12.0</v>
      </c>
      <c r="D32" s="78">
        <f>(B32*C32)</f>
        <v>0.0</v>
      </c>
      <c r="E32" s="76">
        <v>12.0</v>
      </c>
      <c r="F32" s="27">
        <f>(D32*1.05)</f>
        <v>0.0</v>
      </c>
      <c r="G32" s="76">
        <v>12.0</v>
      </c>
      <c r="H32" s="27">
        <f>(1.05*F32)</f>
        <v>0.0</v>
      </c>
      <c r="I32" s="76">
        <v>12.0</v>
      </c>
      <c r="J32" s="27">
        <f>(1.05*H32)</f>
        <v>0.0</v>
      </c>
      <c r="K32" s="76">
        <v>12.0</v>
      </c>
      <c r="L32" s="27">
        <f>(1.05*J32)</f>
        <v>0.0</v>
      </c>
    </row>
    <row r="33" spans="1:12">
      <c r="A33" s="25" t="s">
        <v>478</v>
      </c>
      <c r="B33" s="78">
        <v>0.0</v>
      </c>
      <c r="C33" s="77">
        <v>12.0</v>
      </c>
      <c r="D33" s="78">
        <f>(B33*C33)</f>
        <v>0.0</v>
      </c>
      <c r="E33" s="76">
        <v>12.0</v>
      </c>
      <c r="F33" s="27">
        <f>(D33*1.05)</f>
        <v>0.0</v>
      </c>
      <c r="G33" s="76">
        <v>12.0</v>
      </c>
      <c r="H33" s="27">
        <f>(F33*1.05)</f>
        <v>0.0</v>
      </c>
      <c r="I33" s="76">
        <v>12.0</v>
      </c>
      <c r="J33" s="27">
        <f>(H33*1.05)</f>
        <v>0.0</v>
      </c>
      <c r="K33" s="76">
        <v>12.0</v>
      </c>
      <c r="L33" s="27">
        <f>(1.05*J33)</f>
        <v>0.0</v>
      </c>
    </row>
    <row r="34" spans="1:12">
      <c r="A34" s="25" t="s">
        <v>479</v>
      </c>
      <c r="B34" s="142">
        <v>0.0</v>
      </c>
      <c r="C34" s="77">
        <v>1.0</v>
      </c>
      <c r="D34" s="78">
        <f>(B34*C34)</f>
        <v>0.0</v>
      </c>
      <c r="E34" s="76">
        <v>1.0</v>
      </c>
      <c r="F34" s="27">
        <f>(D34*1.05)</f>
        <v>0.0</v>
      </c>
      <c r="G34" s="143">
        <v>1.0</v>
      </c>
      <c r="H34" s="27">
        <f>(F34*1.05)</f>
        <v>0.0</v>
      </c>
      <c r="I34" s="143">
        <v>1.0</v>
      </c>
      <c r="J34" s="27">
        <f>(H34*1.05)</f>
        <v>0.0</v>
      </c>
      <c r="K34" s="143">
        <v>1.0</v>
      </c>
      <c r="L34" s="27">
        <f>(1.05*J34)</f>
        <v>0.0</v>
      </c>
    </row>
    <row r="35" spans="1:12" ht="30.0">
      <c r="A35" s="106" t="s">
        <v>480</v>
      </c>
      <c r="B35" s="142">
        <f>600000.0/4000</f>
        <v>150.0</v>
      </c>
      <c r="C35" s="77">
        <v>12.0</v>
      </c>
      <c r="D35" s="78">
        <f>(B35*C35)</f>
        <v>1800.0</v>
      </c>
      <c r="E35" s="76">
        <v>12.0</v>
      </c>
      <c r="F35" s="27">
        <f>(D35*1.05)</f>
        <v>1890.0</v>
      </c>
      <c r="G35" s="143">
        <v>12.0</v>
      </c>
      <c r="H35" s="27">
        <f>(F35*1.05)</f>
        <v>1984.5</v>
      </c>
      <c r="I35" s="143">
        <v>12.0</v>
      </c>
      <c r="J35" s="27">
        <f>(H35*1.05)</f>
        <v>2083.725</v>
      </c>
      <c r="K35" s="143">
        <v>12.0</v>
      </c>
      <c r="L35" s="27">
        <f>(1.05*J35)</f>
        <v>2187.91125</v>
      </c>
    </row>
    <row r="36" spans="1:12">
      <c r="A36" s="25" t="s">
        <v>256</v>
      </c>
      <c r="B36" s="142">
        <f>2.0E7/4000</f>
        <v>5000.0</v>
      </c>
      <c r="C36" s="77">
        <v>1.0</v>
      </c>
      <c r="D36" s="78">
        <f>(B36*C36)</f>
        <v>5000.0</v>
      </c>
      <c r="E36" s="76">
        <v>1.0</v>
      </c>
      <c r="F36" s="27">
        <f>(D36*1.05)</f>
        <v>5250.0</v>
      </c>
      <c r="G36" s="143">
        <v>1.0</v>
      </c>
      <c r="H36" s="27">
        <f>(F36*1.05)</f>
        <v>5512.5</v>
      </c>
      <c r="I36" s="143">
        <v>1.0</v>
      </c>
      <c r="J36" s="27">
        <f>(H36*1.05)</f>
        <v>5788.125</v>
      </c>
      <c r="K36" s="143">
        <v>1.0</v>
      </c>
      <c r="L36" s="27">
        <f>(1.05*J36)</f>
        <v>6077.53125</v>
      </c>
    </row>
    <row r="37" spans="1:12" s="24" customFormat="1">
      <c r="A37" s="26" t="s">
        <v>481</v>
      </c>
      <c r="B37" s="68"/>
      <c r="C37" s="70"/>
      <c r="D37" s="80">
        <f>SUM(D29:D36)</f>
        <v>7100.0</v>
      </c>
      <c r="E37" s="70"/>
      <c r="F37" s="71">
        <f>SUM(F29:F36)</f>
        <v>7440.0</v>
      </c>
      <c r="G37" s="70"/>
      <c r="H37" s="71">
        <f>SUM(H29:H36)</f>
        <v>7800.0</v>
      </c>
      <c r="I37" s="70"/>
      <c r="J37" s="69">
        <f>SUM(J29:J36)</f>
        <v>8177.88</v>
      </c>
      <c r="K37" s="70"/>
      <c r="L37" s="69">
        <f>SUM(L29:L36)</f>
        <v>8574.5328</v>
      </c>
    </row>
    <row r="38" spans="1:12">
      <c r="B38" s="24"/>
    </row>
    <row r="39" spans="1:12">
      <c r="B39" s="24"/>
    </row>
    <row r="40" spans="1:12">
      <c r="B40" s="24"/>
    </row>
    <row r="41" spans="1:12">
      <c r="B41" s="24"/>
    </row>
    <row r="42" spans="1:12">
      <c r="B42" s="24"/>
    </row>
    <row r="43" spans="1:12">
      <c r="B43" s="21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1">
    <mergeCell ref="A27:A28"/>
    <mergeCell ref="B17:B18"/>
    <mergeCell ref="C5:D5"/>
    <mergeCell ref="C27:D27"/>
    <mergeCell ref="B27:B28"/>
    <mergeCell ref="A5:A6"/>
    <mergeCell ref="B5:B6"/>
    <mergeCell ref="C17:D17"/>
    <mergeCell ref="A17:A18"/>
    <mergeCell ref="K27:L27"/>
    <mergeCell ref="E17:F17"/>
    <mergeCell ref="K17:L17"/>
    <mergeCell ref="G27:H27"/>
    <mergeCell ref="K5:L5"/>
    <mergeCell ref="E5:F5"/>
    <mergeCell ref="I27:J27"/>
    <mergeCell ref="G5:H5"/>
    <mergeCell ref="I17:J17"/>
    <mergeCell ref="E27:F27"/>
    <mergeCell ref="I5:J5"/>
    <mergeCell ref="G17:H17"/>
  </mergeCells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showGridLines="1" workbookViewId="0" topLeftCell="A1">
      <selection activeCell="A1" sqref="A1"/>
    </sheetView>
  </sheetViews>
  <sheetFormatPr defaultRowHeight="15"/>
  <cols>
    <col min="1" max="1" width="10.5703125" customWidth="1"/>
    <col min="2" max="2" width="10.140625" customWidth="1"/>
    <col min="3" max="3" width="17.7109375" customWidth="1"/>
    <col min="4" max="4" width="16.7109375" customWidth="1"/>
    <col min="5" max="6" width="17.140625" customWidth="1"/>
    <col min="7" max="7" width="16.140625" customWidth="1"/>
    <col min="9" max="9" width="17.85546875" customWidth="1"/>
  </cols>
  <sheetData>
    <row r="1" spans="1:11">
      <c r="A1" s="24" t="s">
        <v>482</v>
      </c>
    </row>
    <row r="2" spans="1:11">
      <c r="A2" s="66" t="s">
        <v>212</v>
      </c>
      <c r="B2" s="66" t="s">
        <v>442</v>
      </c>
      <c r="C2" s="66" t="s">
        <v>259</v>
      </c>
      <c r="D2" s="66" t="s">
        <v>260</v>
      </c>
      <c r="E2" s="66" t="s">
        <v>261</v>
      </c>
      <c r="F2" s="66" t="s">
        <v>262</v>
      </c>
      <c r="G2" s="66" t="s">
        <v>458</v>
      </c>
      <c r="H2" s="21"/>
      <c r="I2" s="21"/>
      <c r="J2" s="21"/>
      <c r="K2" s="21"/>
    </row>
    <row r="3" spans="1:11">
      <c r="A3" s="189" t="s">
        <v>483</v>
      </c>
      <c r="B3" s="62" t="s">
        <v>484</v>
      </c>
      <c r="C3" s="66">
        <v>0.0</v>
      </c>
      <c r="D3" s="140">
        <f>C3*1.05</f>
        <v>0.0</v>
      </c>
      <c r="E3" s="140">
        <f>D3*1.05</f>
        <v>0.0</v>
      </c>
      <c r="F3" s="140">
        <f>E3*1.05</f>
        <v>0.0</v>
      </c>
      <c r="G3" s="140">
        <f>F3*1.05</f>
        <v>0.0</v>
      </c>
      <c r="H3" s="21"/>
      <c r="I3" s="21"/>
      <c r="J3" s="21"/>
      <c r="K3" s="21"/>
    </row>
    <row r="4" spans="1:11">
      <c r="A4" s="190"/>
      <c r="B4" s="62" t="s">
        <v>459</v>
      </c>
      <c r="C4" s="66">
        <v>0.0</v>
      </c>
      <c r="D4" s="140">
        <f>C4*1.05</f>
        <v>0.0</v>
      </c>
      <c r="E4" s="140">
        <f>D4*1.05</f>
        <v>0.0</v>
      </c>
      <c r="F4" s="140">
        <f>E4*1.05</f>
        <v>0.0</v>
      </c>
      <c r="G4" s="140">
        <f>F4*1.05</f>
        <v>0.0</v>
      </c>
      <c r="H4" s="21"/>
      <c r="I4" s="21"/>
      <c r="J4" s="21"/>
      <c r="K4" s="21"/>
    </row>
    <row r="5" spans="1:11">
      <c r="A5" s="191"/>
      <c r="B5" s="66" t="s">
        <v>460</v>
      </c>
      <c r="C5" s="85">
        <f>C3*C4</f>
        <v>0.0</v>
      </c>
      <c r="D5" s="140">
        <f>C5*1.05</f>
        <v>0.0</v>
      </c>
      <c r="E5" s="140">
        <f>D5*1.05</f>
        <v>0.0</v>
      </c>
      <c r="F5" s="140">
        <f>E5*1.05</f>
        <v>0.0</v>
      </c>
      <c r="G5" s="140">
        <f>F5*1.05</f>
        <v>0.0</v>
      </c>
      <c r="H5" s="21"/>
      <c r="I5" s="21"/>
      <c r="J5" s="21"/>
      <c r="K5" s="21"/>
    </row>
    <row r="6" spans="1:11" ht="15.0" customHeight="1">
      <c r="A6" s="192" t="s">
        <v>485</v>
      </c>
      <c r="B6" s="62" t="s">
        <v>484</v>
      </c>
      <c r="C6" s="66">
        <v>0.0</v>
      </c>
      <c r="D6" s="66">
        <f>+C6*1.05</f>
        <v>0.0</v>
      </c>
      <c r="E6" s="66">
        <f>+D6*1.05</f>
        <v>0.0</v>
      </c>
      <c r="F6" s="140">
        <f>+E6*1.05</f>
        <v>0.0</v>
      </c>
      <c r="G6" s="140">
        <f>+F6*1.05</f>
        <v>0.0</v>
      </c>
      <c r="H6" s="21"/>
      <c r="I6" s="21"/>
      <c r="J6" s="21"/>
      <c r="K6" s="21"/>
    </row>
    <row r="7" spans="1:11">
      <c r="A7" s="194"/>
      <c r="B7" s="62" t="s">
        <v>459</v>
      </c>
      <c r="C7" s="66">
        <v>0.0</v>
      </c>
      <c r="D7" s="66">
        <f>+C7*1.05</f>
        <v>0.0</v>
      </c>
      <c r="E7" s="66">
        <f>+D7*1.05</f>
        <v>0.0</v>
      </c>
      <c r="F7" s="140">
        <f>+E7*1.05</f>
        <v>0.0</v>
      </c>
      <c r="G7" s="140">
        <f>+F7*1.05</f>
        <v>0.0</v>
      </c>
      <c r="H7" s="21"/>
      <c r="I7" s="21"/>
      <c r="J7" s="21"/>
      <c r="K7" s="21"/>
    </row>
    <row r="8" spans="1:11">
      <c r="A8" s="193"/>
      <c r="B8" s="66" t="s">
        <v>460</v>
      </c>
      <c r="C8" s="85">
        <f>C6*C7</f>
        <v>0.0</v>
      </c>
      <c r="D8" s="66">
        <f>+C8*1.05</f>
        <v>0.0</v>
      </c>
      <c r="E8" s="66">
        <f>+D8*1.05</f>
        <v>0.0</v>
      </c>
      <c r="F8" s="140">
        <f>+E8*1.05</f>
        <v>0.0</v>
      </c>
      <c r="G8" s="140">
        <f>+F8*1.05</f>
        <v>0.0</v>
      </c>
      <c r="H8" s="21"/>
      <c r="I8" s="21"/>
      <c r="J8" s="21"/>
      <c r="K8" s="21"/>
    </row>
    <row r="9" spans="1:11">
      <c r="A9" s="189" t="s">
        <v>486</v>
      </c>
      <c r="B9" s="62" t="s">
        <v>484</v>
      </c>
      <c r="C9" s="66">
        <v>0.0</v>
      </c>
      <c r="D9" s="140">
        <f>C9*1.05</f>
        <v>0.0</v>
      </c>
      <c r="E9" s="140">
        <f>D9*1.05</f>
        <v>0.0</v>
      </c>
      <c r="F9" s="140">
        <f>E9*1.05</f>
        <v>0.0</v>
      </c>
      <c r="G9" s="140">
        <f>F9*1.05</f>
        <v>0.0</v>
      </c>
      <c r="H9" s="21"/>
      <c r="I9" s="21"/>
      <c r="J9" s="21"/>
      <c r="K9" s="21"/>
    </row>
    <row r="10" spans="1:11">
      <c r="A10" s="190"/>
      <c r="B10" s="62" t="s">
        <v>459</v>
      </c>
      <c r="C10" s="66">
        <v>0.0</v>
      </c>
      <c r="D10" s="140">
        <f>C10*1.05</f>
        <v>0.0</v>
      </c>
      <c r="E10" s="140">
        <f>D10*1.05</f>
        <v>0.0</v>
      </c>
      <c r="F10" s="140">
        <f>E10*1.05</f>
        <v>0.0</v>
      </c>
      <c r="G10" s="140">
        <f>F10*1.05</f>
        <v>0.0</v>
      </c>
      <c r="H10" s="21"/>
      <c r="I10" s="21"/>
      <c r="J10" s="21"/>
      <c r="K10" s="21"/>
    </row>
    <row r="11" spans="1:11">
      <c r="A11" s="191"/>
      <c r="B11" s="66" t="s">
        <v>460</v>
      </c>
      <c r="C11" s="85">
        <f>+C9*C10</f>
        <v>0.0</v>
      </c>
      <c r="D11" s="140">
        <f>C11*1.05</f>
        <v>0.0</v>
      </c>
      <c r="E11" s="140">
        <f>D11*1.05</f>
        <v>0.0</v>
      </c>
      <c r="F11" s="140">
        <f>E11*1.05</f>
        <v>0.0</v>
      </c>
      <c r="G11" s="140">
        <f>F11*1.05</f>
        <v>0.0</v>
      </c>
      <c r="H11" s="21"/>
      <c r="I11" s="21"/>
      <c r="J11" s="21"/>
      <c r="K11" s="21"/>
    </row>
    <row r="12" spans="1:11">
      <c r="A12" s="112" t="s">
        <v>487</v>
      </c>
      <c r="B12" s="62" t="s">
        <v>484</v>
      </c>
      <c r="C12" s="93">
        <f>10000</f>
        <v>10000.0</v>
      </c>
      <c r="D12" s="93">
        <f>C12*1.05</f>
        <v>10500.0</v>
      </c>
      <c r="E12" s="93">
        <f>D12*1.05</f>
        <v>11025.0</v>
      </c>
      <c r="F12" s="93">
        <f>E12*1.05</f>
        <v>11576.25</v>
      </c>
      <c r="G12" s="93">
        <f>F12*1.05</f>
        <v>12155.0625</v>
      </c>
      <c r="H12" s="21"/>
      <c r="I12" s="21"/>
      <c r="J12" s="21"/>
      <c r="K12" s="21"/>
    </row>
    <row r="13" spans="1:11">
      <c r="A13" s="112"/>
      <c r="B13" s="62" t="s">
        <v>459</v>
      </c>
      <c r="C13" s="27">
        <v>84000.0</v>
      </c>
      <c r="D13" s="27">
        <f>1.1*C13</f>
        <v>92400.00000000001</v>
      </c>
      <c r="E13" s="27">
        <f>1.2*D13</f>
        <v>110880.00000000001</v>
      </c>
      <c r="F13" s="27">
        <f>1.1*E13</f>
        <v>121968.00000000003</v>
      </c>
      <c r="G13" s="27">
        <f>1.1*F13</f>
        <v>134164.80000000005</v>
      </c>
      <c r="H13" s="21"/>
      <c r="I13" s="28"/>
      <c r="J13" s="21"/>
      <c r="K13" s="21"/>
    </row>
    <row r="14" spans="1:11">
      <c r="A14" s="112"/>
      <c r="B14" s="66" t="s">
        <v>460</v>
      </c>
      <c r="C14" s="27">
        <f>(C12*C13)/4000</f>
        <v>210000.0</v>
      </c>
      <c r="D14" s="27">
        <f>(D12*D13)/4000</f>
        <v>242550.00000000003</v>
      </c>
      <c r="E14" s="27">
        <f>(E12*E13)/4000</f>
        <v>305613.00000000006</v>
      </c>
      <c r="F14" s="27">
        <f>(F12*F13)/4000</f>
        <v>352983.0150000001</v>
      </c>
      <c r="G14" s="27">
        <f>(G12*G13)/4000</f>
        <v>407695.3823250002</v>
      </c>
      <c r="H14" s="21"/>
      <c r="I14" s="21"/>
      <c r="J14" s="21"/>
      <c r="K14" s="21"/>
    </row>
    <row r="15" spans="1:11">
      <c r="A15" s="46" t="s">
        <v>257</v>
      </c>
      <c r="B15" s="46"/>
      <c r="C15" s="29">
        <f>+C5+C8+C11+C14</f>
        <v>210000.0</v>
      </c>
      <c r="D15" s="29">
        <f>+C15*1.05</f>
        <v>220500.0</v>
      </c>
      <c r="E15" s="29">
        <f>+D15*1.05</f>
        <v>231525.0</v>
      </c>
      <c r="F15" s="29">
        <f>+E15*1.05</f>
        <v>243101.25</v>
      </c>
      <c r="G15" s="29">
        <f>+F15*1.05</f>
        <v>255256.3125</v>
      </c>
      <c r="H15" s="21"/>
      <c r="I15" s="133"/>
      <c r="J15" s="21"/>
      <c r="K15" s="21"/>
    </row>
    <row r="16" spans="1:11">
      <c r="H16" s="21"/>
      <c r="I16" s="21"/>
      <c r="J16" s="21"/>
      <c r="K16" s="21"/>
    </row>
    <row r="17" spans="1:11">
      <c r="C17" s="28"/>
      <c r="H17" s="21"/>
      <c r="I17" s="21"/>
      <c r="J17" s="21"/>
      <c r="K17" s="21"/>
    </row>
    <row r="18" spans="1:11">
      <c r="I18" s="94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5">
    <mergeCell ref="A9:A11"/>
    <mergeCell ref="A6:A8"/>
    <mergeCell ref="A3:A5"/>
    <mergeCell ref="A12:A14"/>
    <mergeCell ref="A15:B15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Business Model</vt:lpstr>
      <vt:lpstr>Investissements_Charges</vt:lpstr>
      <vt:lpstr>Cash flow_VAN</vt:lpstr>
      <vt:lpstr>Autres charges</vt:lpstr>
      <vt:lpstr>Autres_charges</vt:lpstr>
      <vt:lpstr>Chiffre d'affaires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xsi="http://www.w3.org/2001/XMLSchema-instance">
  <dc:creator>Android phone</dc:creator>
  <cp:lastModifiedBy>Android phone</cp:lastModifiedBy>
</cp:coreProperties>
</file>